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реализации\для сайта\_ТСО\по факту\"/>
    </mc:Choice>
  </mc:AlternateContent>
  <bookViews>
    <workbookView xWindow="-15" yWindow="165" windowWidth="10200" windowHeight="7575" firstSheet="8" activeTab="11"/>
  </bookViews>
  <sheets>
    <sheet name="2013" sheetId="9" state="hidden" r:id="rId1"/>
    <sheet name="2014" sheetId="8" state="hidden" r:id="rId2"/>
    <sheet name="2015 " sheetId="7" state="hidden" r:id="rId3"/>
    <sheet name="2016" sheetId="11" state="hidden" r:id="rId4"/>
    <sheet name="2017" sheetId="12" state="hidden" r:id="rId5"/>
    <sheet name="2018" sheetId="13" state="hidden" r:id="rId6"/>
    <sheet name="2019" sheetId="14" state="hidden" r:id="rId7"/>
    <sheet name="2020" sheetId="15" state="hidden" r:id="rId8"/>
    <sheet name="2021" sheetId="16" r:id="rId9"/>
    <sheet name="2022" sheetId="17" r:id="rId10"/>
    <sheet name="2023" sheetId="18" r:id="rId11"/>
    <sheet name="2024" sheetId="19" r:id="rId12"/>
  </sheets>
  <calcPr calcId="162913"/>
</workbook>
</file>

<file path=xl/calcChain.xml><?xml version="1.0" encoding="utf-8"?>
<calcChain xmlns="http://schemas.openxmlformats.org/spreadsheetml/2006/main">
  <c r="N11" i="19" l="1"/>
  <c r="N8" i="19"/>
  <c r="N5" i="19"/>
  <c r="N7" i="19"/>
  <c r="N6" i="19"/>
  <c r="L11" i="19" l="1"/>
  <c r="L8" i="19"/>
  <c r="L7" i="19"/>
  <c r="L6" i="19"/>
  <c r="L5" i="19"/>
  <c r="M11" i="19"/>
  <c r="M8" i="19"/>
  <c r="M7" i="19"/>
  <c r="M6" i="19"/>
  <c r="M12" i="19" s="1"/>
  <c r="M5" i="19"/>
  <c r="K5" i="19" l="1"/>
  <c r="K11" i="19"/>
  <c r="K8" i="19"/>
  <c r="K7" i="19"/>
  <c r="K6" i="19"/>
  <c r="J5" i="19" l="1"/>
  <c r="J11" i="19" l="1"/>
  <c r="J8" i="19"/>
  <c r="J7" i="19"/>
  <c r="J6" i="19"/>
  <c r="H5" i="19" l="1"/>
  <c r="I5" i="19" l="1"/>
  <c r="I11" i="19"/>
  <c r="I8" i="19"/>
  <c r="I7" i="19"/>
  <c r="I6" i="19"/>
  <c r="F11" i="19" l="1"/>
  <c r="F8" i="19"/>
  <c r="F7" i="19"/>
  <c r="F6" i="19"/>
  <c r="F5" i="19"/>
  <c r="E11" i="19" l="1"/>
  <c r="E9" i="19"/>
  <c r="E8" i="19"/>
  <c r="E7" i="19"/>
  <c r="E6" i="19"/>
  <c r="E5" i="19"/>
  <c r="D5" i="19" l="1"/>
  <c r="D11" i="19" l="1"/>
  <c r="D8" i="19"/>
  <c r="D7" i="19"/>
  <c r="D6" i="19"/>
  <c r="C5" i="19" l="1"/>
  <c r="C11" i="19"/>
  <c r="C8" i="19"/>
  <c r="C7" i="19"/>
  <c r="C6" i="19"/>
  <c r="H12" i="19" l="1"/>
  <c r="G12" i="19"/>
  <c r="E12" i="19"/>
  <c r="D12" i="19"/>
  <c r="L12" i="19"/>
  <c r="K12" i="19"/>
  <c r="J12" i="19"/>
  <c r="N12" i="19"/>
  <c r="I12" i="19"/>
  <c r="F12" i="19"/>
  <c r="C12" i="19"/>
  <c r="N9" i="18" l="1"/>
  <c r="N8" i="18"/>
  <c r="N7" i="18"/>
  <c r="N6" i="18"/>
  <c r="N11" i="18"/>
  <c r="M11" i="18" l="1"/>
  <c r="M8" i="18"/>
  <c r="M7" i="18"/>
  <c r="M6" i="18"/>
  <c r="L11" i="18" l="1"/>
  <c r="L8" i="18"/>
  <c r="L7" i="18"/>
  <c r="L6" i="18"/>
  <c r="J11" i="18" l="1"/>
  <c r="J8" i="18"/>
  <c r="J7" i="18"/>
  <c r="J6" i="18"/>
  <c r="K11" i="18"/>
  <c r="K8" i="18"/>
  <c r="K7" i="18"/>
  <c r="K6" i="18"/>
  <c r="I11" i="18" l="1"/>
  <c r="I7" i="18"/>
  <c r="I6" i="18"/>
  <c r="F11" i="18" l="1"/>
  <c r="F7" i="18"/>
  <c r="F6" i="18"/>
  <c r="E11" i="18" l="1"/>
  <c r="E7" i="18"/>
  <c r="E6" i="18"/>
  <c r="D11" i="18" l="1"/>
  <c r="D7" i="18"/>
  <c r="D6" i="18"/>
  <c r="C11" i="18" l="1"/>
  <c r="C9" i="18"/>
  <c r="C8" i="18"/>
  <c r="C7" i="18"/>
  <c r="C6" i="18"/>
  <c r="C12" i="18" l="1"/>
  <c r="AH11" i="16"/>
  <c r="AH9" i="16"/>
  <c r="AH8" i="16"/>
  <c r="AH7" i="16"/>
  <c r="AH6" i="16"/>
  <c r="AH5" i="16"/>
  <c r="G12" i="18"/>
  <c r="K12" i="18"/>
  <c r="N12" i="18"/>
  <c r="M12" i="18"/>
  <c r="L12" i="18"/>
  <c r="J12" i="18"/>
  <c r="I12" i="18"/>
  <c r="H12" i="18"/>
  <c r="F12" i="18"/>
  <c r="E12" i="18"/>
  <c r="D12" i="18"/>
  <c r="AS11" i="17" l="1"/>
  <c r="AS7" i="17"/>
  <c r="AS6" i="17"/>
  <c r="AO11" i="17" l="1"/>
  <c r="AO7" i="17"/>
  <c r="AO6" i="17"/>
  <c r="AK11" i="17"/>
  <c r="AK7" i="17"/>
  <c r="AK6" i="17"/>
  <c r="AG11" i="17"/>
  <c r="AG7" i="17"/>
  <c r="AG6" i="17"/>
  <c r="AC11" i="17"/>
  <c r="AC7" i="17"/>
  <c r="AC6" i="17"/>
  <c r="Y11" i="17"/>
  <c r="Y7" i="17"/>
  <c r="Y6" i="17"/>
  <c r="U7" i="17"/>
  <c r="U6" i="17"/>
  <c r="U11" i="17"/>
  <c r="M7" i="17"/>
  <c r="M6" i="17"/>
  <c r="Q7" i="17"/>
  <c r="Q6" i="17"/>
  <c r="J11" i="17"/>
  <c r="J7" i="17"/>
  <c r="J6" i="17"/>
  <c r="G11" i="17"/>
  <c r="G7" i="17"/>
  <c r="G6" i="17"/>
  <c r="D11" i="17"/>
  <c r="D7" i="17"/>
  <c r="D6" i="17"/>
  <c r="D12" i="17"/>
  <c r="W11" i="15"/>
  <c r="W9" i="15"/>
  <c r="W8" i="15"/>
  <c r="W7" i="15"/>
  <c r="W6" i="15"/>
  <c r="W5" i="15"/>
  <c r="Q12" i="17"/>
  <c r="G12" i="17"/>
  <c r="AK12" i="17"/>
  <c r="U12" i="17"/>
  <c r="AS12" i="17"/>
  <c r="AO12" i="17"/>
  <c r="AC12" i="17"/>
  <c r="Y12" i="17"/>
  <c r="M12" i="17"/>
  <c r="J12" i="17"/>
  <c r="AG12" i="17"/>
  <c r="AG11" i="16"/>
  <c r="AG7" i="16"/>
  <c r="AG6" i="16"/>
  <c r="AD11" i="16"/>
  <c r="AD7" i="16"/>
  <c r="AD6" i="16"/>
  <c r="AA11" i="16"/>
  <c r="AA7" i="16"/>
  <c r="AA6" i="16"/>
  <c r="X11" i="16"/>
  <c r="X7" i="16"/>
  <c r="X6" i="16"/>
  <c r="X5" i="16"/>
  <c r="U11" i="16"/>
  <c r="U7" i="16"/>
  <c r="U6" i="16"/>
  <c r="R11" i="16"/>
  <c r="R7" i="16"/>
  <c r="R6" i="16"/>
  <c r="O11" i="16"/>
  <c r="O7" i="16"/>
  <c r="O6" i="16"/>
  <c r="L7" i="16"/>
  <c r="L6" i="16"/>
  <c r="I11" i="16"/>
  <c r="I7" i="16"/>
  <c r="I6" i="16"/>
  <c r="G6" i="16"/>
  <c r="G11" i="16"/>
  <c r="G7" i="16"/>
  <c r="E11" i="16"/>
  <c r="E7" i="16"/>
  <c r="E6" i="16"/>
  <c r="C11" i="16"/>
  <c r="C7" i="16"/>
  <c r="C6" i="16"/>
  <c r="X12" i="16"/>
  <c r="AG12" i="16"/>
  <c r="AD12" i="16"/>
  <c r="AA12" i="16"/>
  <c r="U12" i="16"/>
  <c r="R12" i="16"/>
  <c r="O12" i="16"/>
  <c r="L12" i="16"/>
  <c r="I12" i="16"/>
  <c r="G12" i="16"/>
  <c r="E12" i="16"/>
  <c r="C12" i="16"/>
  <c r="V11" i="15"/>
  <c r="V7" i="15"/>
  <c r="V6" i="15"/>
  <c r="O9" i="14"/>
  <c r="O8" i="14"/>
  <c r="O5" i="14"/>
  <c r="T7" i="15"/>
  <c r="T6" i="15"/>
  <c r="R11" i="15"/>
  <c r="R7" i="15"/>
  <c r="R6" i="15"/>
  <c r="N11" i="15"/>
  <c r="N7" i="15"/>
  <c r="N6" i="15"/>
  <c r="L11" i="15"/>
  <c r="L7" i="15"/>
  <c r="L6" i="15"/>
  <c r="Q5" i="14"/>
  <c r="J11" i="15"/>
  <c r="J7" i="15"/>
  <c r="J6" i="15"/>
  <c r="I5" i="15"/>
  <c r="H11" i="15"/>
  <c r="H7" i="15"/>
  <c r="H6" i="15"/>
  <c r="F11" i="15"/>
  <c r="F7" i="15"/>
  <c r="F6" i="15"/>
  <c r="E7" i="15"/>
  <c r="E6" i="15"/>
  <c r="E11" i="15"/>
  <c r="D11" i="15"/>
  <c r="D7" i="15"/>
  <c r="D6" i="15"/>
  <c r="Q8" i="14"/>
  <c r="C11" i="15"/>
  <c r="C7" i="15"/>
  <c r="C6" i="15"/>
  <c r="D12" i="15"/>
  <c r="E12" i="15"/>
  <c r="F12" i="15"/>
  <c r="H12" i="15"/>
  <c r="J12" i="15"/>
  <c r="L12" i="15"/>
  <c r="N12" i="15"/>
  <c r="P12" i="15"/>
  <c r="R12" i="15"/>
  <c r="T12" i="15"/>
  <c r="V12" i="15"/>
  <c r="C12" i="15"/>
  <c r="N11" i="14"/>
  <c r="N7" i="14"/>
  <c r="N6" i="14"/>
  <c r="M11" i="14"/>
  <c r="O11" i="14"/>
  <c r="M7" i="14"/>
  <c r="O7" i="14"/>
  <c r="M6" i="14"/>
  <c r="O6" i="14"/>
  <c r="L11" i="14"/>
  <c r="L7" i="14"/>
  <c r="L6" i="14"/>
  <c r="K11" i="14"/>
  <c r="K7" i="14"/>
  <c r="K6" i="14"/>
  <c r="J11" i="14"/>
  <c r="J7" i="14"/>
  <c r="J6" i="14"/>
  <c r="J12" i="14"/>
  <c r="K12" i="14"/>
  <c r="L12" i="14"/>
  <c r="M12" i="14"/>
  <c r="N12" i="14"/>
  <c r="I11" i="14"/>
  <c r="I7" i="14"/>
  <c r="I6" i="14"/>
  <c r="I12" i="14"/>
  <c r="H11" i="14"/>
  <c r="H7" i="14"/>
  <c r="H6" i="14"/>
  <c r="G11" i="14"/>
  <c r="G7" i="14"/>
  <c r="G6" i="14"/>
  <c r="F11" i="14"/>
  <c r="F7" i="14"/>
  <c r="F6" i="14"/>
  <c r="E11" i="14"/>
  <c r="Q11" i="14"/>
  <c r="E7" i="14"/>
  <c r="E6" i="14"/>
  <c r="D7" i="14"/>
  <c r="D6" i="14"/>
  <c r="C9" i="14"/>
  <c r="Q9" i="14"/>
  <c r="C7" i="14"/>
  <c r="Q7" i="14"/>
  <c r="C6" i="14"/>
  <c r="Q6" i="14"/>
  <c r="C12" i="14"/>
  <c r="H12" i="14"/>
  <c r="G12" i="14"/>
  <c r="F12" i="14"/>
  <c r="E12" i="14"/>
  <c r="D12" i="14"/>
  <c r="N10" i="13"/>
  <c r="N6" i="13"/>
  <c r="N5" i="13"/>
  <c r="M10" i="13"/>
  <c r="M6" i="13"/>
  <c r="M5" i="13"/>
  <c r="L10" i="13"/>
  <c r="L6" i="13"/>
  <c r="L5" i="13"/>
  <c r="K10" i="13"/>
  <c r="K6" i="13"/>
  <c r="K5" i="13"/>
  <c r="J10" i="13"/>
  <c r="J6" i="13"/>
  <c r="J5" i="13"/>
  <c r="I10" i="13"/>
  <c r="I6" i="13"/>
  <c r="I5" i="13"/>
  <c r="H10" i="13"/>
  <c r="H6" i="13"/>
  <c r="H5" i="13"/>
  <c r="G10" i="13"/>
  <c r="G6" i="13"/>
  <c r="G5" i="13"/>
  <c r="F6" i="13"/>
  <c r="F5" i="13"/>
  <c r="F10" i="13"/>
  <c r="F11" i="13"/>
  <c r="E10" i="13"/>
  <c r="E6" i="13"/>
  <c r="E5" i="13"/>
  <c r="E11" i="13"/>
  <c r="D5" i="13"/>
  <c r="D10" i="13"/>
  <c r="D6" i="13"/>
  <c r="D11" i="13"/>
  <c r="C5" i="13"/>
  <c r="C10" i="13"/>
  <c r="C6" i="13"/>
  <c r="C11" i="13"/>
  <c r="G11" i="13"/>
  <c r="K11" i="13"/>
  <c r="N11" i="13"/>
  <c r="M11" i="13"/>
  <c r="L11" i="13"/>
  <c r="J11" i="13"/>
  <c r="I11" i="13"/>
  <c r="H11" i="13"/>
  <c r="N10" i="12"/>
  <c r="N6" i="12"/>
  <c r="N5" i="12"/>
  <c r="M10" i="12"/>
  <c r="M6" i="12"/>
  <c r="M5" i="12"/>
  <c r="L10" i="12"/>
  <c r="L6" i="12"/>
  <c r="L5" i="12"/>
  <c r="K10" i="12"/>
  <c r="K6" i="12"/>
  <c r="K5" i="12"/>
  <c r="J10" i="12"/>
  <c r="J6" i="12"/>
  <c r="J5" i="12"/>
  <c r="J11" i="12"/>
  <c r="I10" i="12"/>
  <c r="I6" i="12"/>
  <c r="I5" i="12"/>
  <c r="I11" i="12"/>
  <c r="H10" i="12"/>
  <c r="H6" i="12"/>
  <c r="H5" i="12"/>
  <c r="G6" i="12"/>
  <c r="G5" i="12"/>
  <c r="F5" i="12"/>
  <c r="E5" i="12"/>
  <c r="G11" i="12"/>
  <c r="F10" i="12"/>
  <c r="F6" i="12"/>
  <c r="E10" i="12"/>
  <c r="E6" i="12"/>
  <c r="D10" i="12"/>
  <c r="D6" i="12"/>
  <c r="D5" i="12"/>
  <c r="C10" i="12"/>
  <c r="C6" i="12"/>
  <c r="C5" i="12"/>
  <c r="N11" i="12"/>
  <c r="M11" i="12"/>
  <c r="L11" i="12"/>
  <c r="K11" i="12"/>
  <c r="H11" i="12"/>
  <c r="F11" i="12"/>
  <c r="E11" i="12"/>
  <c r="D11" i="12"/>
  <c r="C11" i="12"/>
  <c r="N11" i="11"/>
  <c r="K11" i="11"/>
  <c r="J11" i="11"/>
  <c r="I11" i="11"/>
  <c r="H11" i="11"/>
  <c r="G11" i="11"/>
  <c r="F11" i="11"/>
  <c r="E11" i="11"/>
  <c r="D11" i="11"/>
  <c r="C11" i="11"/>
  <c r="M11" i="11"/>
  <c r="L11" i="11"/>
  <c r="M10" i="7"/>
  <c r="M5" i="7"/>
  <c r="L5" i="7"/>
  <c r="N11" i="9"/>
  <c r="M11" i="9"/>
  <c r="L11" i="9"/>
  <c r="K11" i="9"/>
  <c r="J11" i="9"/>
  <c r="I11" i="9"/>
  <c r="H11" i="9"/>
  <c r="G11" i="9"/>
  <c r="F11" i="9"/>
  <c r="E11" i="9"/>
  <c r="D11" i="9"/>
  <c r="C11" i="9"/>
  <c r="N11" i="8"/>
  <c r="M11" i="8"/>
  <c r="L11" i="8"/>
  <c r="K11" i="8"/>
  <c r="J11" i="8"/>
  <c r="I11" i="8"/>
  <c r="H11" i="8"/>
  <c r="G11" i="8"/>
  <c r="F11" i="8"/>
  <c r="E11" i="8"/>
  <c r="D11" i="8"/>
  <c r="C11" i="8"/>
  <c r="G11" i="7"/>
  <c r="D11" i="7"/>
  <c r="E11" i="7"/>
  <c r="F11" i="7"/>
  <c r="H11" i="7"/>
  <c r="I11" i="7"/>
  <c r="J11" i="7"/>
  <c r="K11" i="7"/>
  <c r="L11" i="7"/>
  <c r="M11" i="7"/>
  <c r="N11" i="7"/>
  <c r="C11" i="7"/>
</calcChain>
</file>

<file path=xl/sharedStrings.xml><?xml version="1.0" encoding="utf-8"?>
<sst xmlns="http://schemas.openxmlformats.org/spreadsheetml/2006/main" count="282" uniqueCount="36">
  <si>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</si>
  <si>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</si>
  <si>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</si>
  <si>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</si>
  <si>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</si>
  <si>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</si>
  <si>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</si>
  <si>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</si>
  <si>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</si>
  <si>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</si>
  <si>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</si>
  <si>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</si>
  <si>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</si>
  <si>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</si>
  <si>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</si>
  <si>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</si>
  <si>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</si>
  <si>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</si>
  <si>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кВт*ч</t>
  </si>
  <si>
    <t>Население, кВт*ч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</si>
  <si>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2015 год</t>
  </si>
  <si>
    <t>Наименование ТСО</t>
  </si>
  <si>
    <t xml:space="preserve">ООО "Башкирская сетевая компания" 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</si>
  <si>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</si>
  <si>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</si>
  <si>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2016 год</t>
  </si>
  <si>
    <t xml:space="preserve">ООО "Башкирэнерго" 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</si>
  <si>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</si>
  <si>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</si>
  <si>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2019 год</t>
  </si>
  <si>
    <t>ГН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</si>
  <si>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2020 год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</si>
  <si>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</si>
  <si>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</si>
  <si>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</si>
  <si>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Республики Башкортостан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</si>
</sst>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workbookViewId="0">
      <selection activeCell="E14" sqref="E14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" customFormat="1" ht="33" customHeight="1" x14ac:dyDescent="0.25">
      <c r="A3" s="6" t="s">
        <v>21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23" t="s">
        <v>22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22.5" customHeight="1" x14ac:dyDescent="0.25">
      <c r="A5" s="24"/>
      <c r="B5" s="5" t="s">
        <v>13</v>
      </c>
      <c r="C5" s="3">
        <v>95941305.000000015</v>
      </c>
      <c r="D5" s="3">
        <v>85759591</v>
      </c>
      <c r="E5" s="3">
        <v>94443931.999999985</v>
      </c>
      <c r="F5" s="3">
        <v>85925196.999999985</v>
      </c>
      <c r="G5" s="3">
        <v>82860453.999999985</v>
      </c>
      <c r="H5" s="3">
        <v>82600709</v>
      </c>
      <c r="I5" s="3">
        <v>84893419</v>
      </c>
      <c r="J5" s="3">
        <v>83786149</v>
      </c>
      <c r="K5" s="3">
        <v>86669725.999999985</v>
      </c>
      <c r="L5" s="3">
        <v>92566719.000000015</v>
      </c>
      <c r="M5" s="3">
        <v>92003578</v>
      </c>
      <c r="N5" s="3">
        <v>101048916</v>
      </c>
    </row>
    <row r="6" spans="1:14" ht="22.5" customHeight="1" x14ac:dyDescent="0.25">
      <c r="A6" s="24"/>
      <c r="B6" s="5" t="s">
        <v>14</v>
      </c>
      <c r="C6" s="3">
        <v>2239222</v>
      </c>
      <c r="D6" s="3">
        <v>2329937</v>
      </c>
      <c r="E6" s="3">
        <v>2006670</v>
      </c>
      <c r="F6" s="3">
        <v>2251913</v>
      </c>
      <c r="G6" s="3">
        <v>2465794.0000000005</v>
      </c>
      <c r="H6" s="3">
        <v>2863404.9999999995</v>
      </c>
      <c r="I6" s="3">
        <v>3132299</v>
      </c>
      <c r="J6" s="3">
        <v>2913422</v>
      </c>
      <c r="K6" s="3">
        <v>3162571.9999999995</v>
      </c>
      <c r="L6" s="3">
        <v>3211932.0000000005</v>
      </c>
      <c r="M6" s="3">
        <v>3370294</v>
      </c>
      <c r="N6" s="3">
        <v>3549048</v>
      </c>
    </row>
    <row r="7" spans="1:14" ht="22.5" customHeight="1" x14ac:dyDescent="0.25">
      <c r="A7" s="24"/>
      <c r="B7" s="5" t="s">
        <v>15</v>
      </c>
      <c r="C7" s="3">
        <v>2469276.0000000005</v>
      </c>
      <c r="D7" s="3">
        <v>1755614.9999999998</v>
      </c>
      <c r="E7" s="3">
        <v>1673565</v>
      </c>
      <c r="F7" s="3">
        <v>1301096</v>
      </c>
      <c r="G7" s="3">
        <v>970262.00000000012</v>
      </c>
      <c r="H7" s="3">
        <v>730990.00000000012</v>
      </c>
      <c r="I7" s="3">
        <v>801148</v>
      </c>
      <c r="J7" s="3">
        <v>822644.00000000012</v>
      </c>
      <c r="K7" s="3">
        <v>868302.00000000023</v>
      </c>
      <c r="L7" s="3">
        <v>1230106</v>
      </c>
      <c r="M7" s="3">
        <v>1322555</v>
      </c>
      <c r="N7" s="3">
        <v>1558404</v>
      </c>
    </row>
    <row r="8" spans="1:14" ht="22.5" customHeight="1" x14ac:dyDescent="0.25">
      <c r="A8" s="24"/>
      <c r="B8" s="5" t="s">
        <v>16</v>
      </c>
      <c r="C8" s="3">
        <v>92300.999999999985</v>
      </c>
      <c r="D8" s="3">
        <v>29736</v>
      </c>
      <c r="E8" s="3">
        <v>31429</v>
      </c>
      <c r="F8" s="3">
        <v>22894.999999999996</v>
      </c>
      <c r="G8" s="3">
        <v>15527</v>
      </c>
      <c r="H8" s="3">
        <v>11067</v>
      </c>
      <c r="I8" s="3">
        <v>19076</v>
      </c>
      <c r="J8" s="3">
        <v>14521</v>
      </c>
      <c r="K8" s="3">
        <v>16886</v>
      </c>
      <c r="L8" s="3">
        <v>25276.000000000004</v>
      </c>
      <c r="M8" s="3">
        <v>45350</v>
      </c>
      <c r="N8" s="3">
        <v>43878</v>
      </c>
    </row>
    <row r="9" spans="1:14" ht="22.5" customHeight="1" x14ac:dyDescent="0.25">
      <c r="A9" s="24"/>
      <c r="B9" s="26" t="s">
        <v>19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22.5" customHeight="1" x14ac:dyDescent="0.25">
      <c r="A10" s="25"/>
      <c r="B10" s="4"/>
      <c r="C10" s="3">
        <v>16534</v>
      </c>
      <c r="D10" s="3">
        <v>4517</v>
      </c>
      <c r="E10" s="3">
        <v>13604</v>
      </c>
      <c r="F10" s="3">
        <v>10549</v>
      </c>
      <c r="G10" s="3">
        <v>8544</v>
      </c>
      <c r="H10" s="3">
        <v>5537</v>
      </c>
      <c r="I10" s="3">
        <v>4949</v>
      </c>
      <c r="J10" s="3">
        <v>8179</v>
      </c>
      <c r="K10" s="3">
        <v>8112</v>
      </c>
      <c r="L10" s="3">
        <v>11394</v>
      </c>
      <c r="M10" s="3">
        <v>10933</v>
      </c>
      <c r="N10" s="3">
        <v>13843</v>
      </c>
    </row>
    <row r="11" spans="1:14" ht="22.5" customHeight="1" x14ac:dyDescent="0.25">
      <c r="A11" s="29" t="s">
        <v>17</v>
      </c>
      <c r="B11" s="30"/>
      <c r="C11" s="9">
        <f>SUM(C5:C8,C10)</f>
        <v>100758638.00000001</v>
      </c>
      <c r="D11" s="9">
        <f t="shared" ref="D11:N11" si="0">SUM(D5:D8,D10)</f>
        <v>89879396</v>
      </c>
      <c r="E11" s="9">
        <f t="shared" si="0"/>
        <v>98169199.999999985</v>
      </c>
      <c r="F11" s="9">
        <f t="shared" si="0"/>
        <v>89511649.999999985</v>
      </c>
      <c r="G11" s="9">
        <f>SUM(G5:G8,G10)</f>
        <v>86320580.999999985</v>
      </c>
      <c r="H11" s="9">
        <f t="shared" si="0"/>
        <v>86211708</v>
      </c>
      <c r="I11" s="9">
        <f t="shared" si="0"/>
        <v>88850891</v>
      </c>
      <c r="J11" s="9">
        <f t="shared" si="0"/>
        <v>87544915</v>
      </c>
      <c r="K11" s="9">
        <f t="shared" si="0"/>
        <v>90725597.999999985</v>
      </c>
      <c r="L11" s="9">
        <f t="shared" si="0"/>
        <v>97045427.000000015</v>
      </c>
      <c r="M11" s="9">
        <f t="shared" si="0"/>
        <v>96752710</v>
      </c>
      <c r="N11" s="9">
        <f t="shared" si="0"/>
        <v>106214089</v>
      </c>
    </row>
    <row r="15" spans="1:14" ht="22.5" customHeight="1" x14ac:dyDescent="0.25">
      <c r="M15" s="10"/>
    </row>
    <row r="19" spans="13:13" ht="22.5" customHeight="1" x14ac:dyDescent="0.25">
      <c r="M19" s="10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2"/>
  <sheetViews>
    <sheetView zoomScale="70" zoomScaleNormal="70" workbookViewId="0">
      <selection activeCell="AT5" sqref="AT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6" style="1" customWidth="1"/>
    <col min="5" max="6" width="16" style="1" hidden="1" customWidth="1"/>
    <col min="7" max="7" width="16.7109375" style="1" customWidth="1"/>
    <col min="8" max="9" width="16.7109375" style="1" hidden="1" customWidth="1"/>
    <col min="10" max="10" width="16.42578125" style="1" customWidth="1"/>
    <col min="11" max="12" width="16.42578125" style="1" hidden="1" customWidth="1"/>
    <col min="13" max="13" width="15.85546875" style="1" customWidth="1"/>
    <col min="14" max="16" width="15.85546875" style="1" hidden="1" customWidth="1"/>
    <col min="17" max="17" width="17.85546875" style="1" customWidth="1"/>
    <col min="18" max="20" width="17.85546875" style="1" hidden="1" customWidth="1"/>
    <col min="21" max="21" width="18.42578125" style="1" customWidth="1"/>
    <col min="22" max="24" width="18.42578125" style="1" hidden="1" customWidth="1"/>
    <col min="25" max="25" width="19.85546875" style="1" customWidth="1"/>
    <col min="26" max="28" width="19.85546875" style="1" hidden="1" customWidth="1"/>
    <col min="29" max="29" width="21" style="1" customWidth="1"/>
    <col min="30" max="32" width="21" style="1" hidden="1" customWidth="1"/>
    <col min="33" max="33" width="22.140625" style="1" customWidth="1"/>
    <col min="34" max="36" width="22.140625" style="1" hidden="1" customWidth="1"/>
    <col min="37" max="37" width="22.42578125" style="1" customWidth="1"/>
    <col min="38" max="40" width="22.42578125" style="1" hidden="1" customWidth="1"/>
    <col min="41" max="41" width="24.28515625" style="1" customWidth="1"/>
    <col min="42" max="44" width="24.28515625" style="1" hidden="1" customWidth="1"/>
    <col min="45" max="45" width="24.140625" style="1" customWidth="1"/>
    <col min="46" max="46" width="9.140625" style="14"/>
    <col min="47" max="16384" width="9.140625" style="1"/>
  </cols>
  <sheetData>
    <row r="2" spans="1:46" ht="42.75" customHeight="1" x14ac:dyDescent="0.25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6" s="2" customFormat="1" ht="33" customHeight="1" x14ac:dyDescent="0.25">
      <c r="A3" s="6" t="s">
        <v>21</v>
      </c>
      <c r="B3" s="7" t="s">
        <v>0</v>
      </c>
      <c r="C3" s="7"/>
      <c r="D3" s="8" t="s">
        <v>1</v>
      </c>
      <c r="E3" s="8"/>
      <c r="F3" s="8"/>
      <c r="G3" s="8" t="s">
        <v>2</v>
      </c>
      <c r="H3" s="8"/>
      <c r="I3" s="8"/>
      <c r="J3" s="8" t="s">
        <v>3</v>
      </c>
      <c r="K3" s="8"/>
      <c r="L3" s="8"/>
      <c r="M3" s="8" t="s">
        <v>4</v>
      </c>
      <c r="N3" s="8"/>
      <c r="O3" s="8"/>
      <c r="P3" s="8"/>
      <c r="Q3" s="8" t="s">
        <v>5</v>
      </c>
      <c r="R3" s="8"/>
      <c r="S3" s="8"/>
      <c r="T3" s="8"/>
      <c r="U3" s="8" t="s">
        <v>6</v>
      </c>
      <c r="V3" s="8"/>
      <c r="W3" s="8"/>
      <c r="X3" s="8"/>
      <c r="Y3" s="8" t="s">
        <v>7</v>
      </c>
      <c r="Z3" s="8"/>
      <c r="AA3" s="8"/>
      <c r="AB3" s="8"/>
      <c r="AC3" s="8" t="s">
        <v>8</v>
      </c>
      <c r="AD3" s="8"/>
      <c r="AE3" s="8"/>
      <c r="AF3" s="8"/>
      <c r="AG3" s="8" t="s">
        <v>9</v>
      </c>
      <c r="AH3" s="8"/>
      <c r="AI3" s="8"/>
      <c r="AJ3" s="8"/>
      <c r="AK3" s="8" t="s">
        <v>10</v>
      </c>
      <c r="AL3" s="8"/>
      <c r="AM3" s="8"/>
      <c r="AN3" s="8"/>
      <c r="AO3" s="8" t="s">
        <v>11</v>
      </c>
      <c r="AP3" s="8"/>
      <c r="AQ3" s="8"/>
      <c r="AR3" s="8"/>
      <c r="AS3" s="8" t="s">
        <v>12</v>
      </c>
      <c r="AT3" s="15"/>
    </row>
    <row r="4" spans="1:46" ht="22.5" customHeight="1" x14ac:dyDescent="0.25">
      <c r="A4" s="23" t="s">
        <v>26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8"/>
    </row>
    <row r="5" spans="1:46" ht="22.5" customHeight="1" x14ac:dyDescent="0.25">
      <c r="A5" s="24"/>
      <c r="B5" s="18" t="s">
        <v>30</v>
      </c>
      <c r="C5" s="18">
        <v>0.99108648518429299</v>
      </c>
      <c r="D5" s="3">
        <v>7734</v>
      </c>
      <c r="E5" s="3"/>
      <c r="F5" s="3">
        <v>0.89912493923189107</v>
      </c>
      <c r="G5" s="3">
        <v>11042</v>
      </c>
      <c r="H5" s="3"/>
      <c r="I5" s="3">
        <v>1.1084076777507434</v>
      </c>
      <c r="J5" s="3">
        <v>9417</v>
      </c>
      <c r="K5" s="3"/>
      <c r="L5" s="3">
        <v>1.2490243902439024</v>
      </c>
      <c r="M5" s="3">
        <v>5117</v>
      </c>
      <c r="N5" s="3"/>
      <c r="O5" s="3"/>
      <c r="P5" s="3"/>
      <c r="Q5" s="3">
        <v>4367</v>
      </c>
      <c r="R5" s="3"/>
      <c r="S5" s="3"/>
      <c r="T5" s="3">
        <v>0.97657244716068248</v>
      </c>
      <c r="U5" s="3">
        <v>3938</v>
      </c>
      <c r="V5" s="3"/>
      <c r="W5" s="3"/>
      <c r="X5" s="3">
        <v>1.0260756192959584</v>
      </c>
      <c r="Y5" s="3">
        <v>3957</v>
      </c>
      <c r="Z5" s="3"/>
      <c r="AA5" s="3"/>
      <c r="AB5" s="3">
        <v>1.0048284625158832</v>
      </c>
      <c r="AC5" s="3">
        <v>3905</v>
      </c>
      <c r="AD5" s="3"/>
      <c r="AE5" s="3"/>
      <c r="AF5" s="3">
        <v>1.1322711178553364</v>
      </c>
      <c r="AG5" s="17">
        <v>4212</v>
      </c>
      <c r="AH5" s="3"/>
      <c r="AI5" s="3"/>
      <c r="AJ5" s="3">
        <v>1.1518874246146973</v>
      </c>
      <c r="AK5" s="3">
        <v>13065</v>
      </c>
      <c r="AL5" s="3"/>
      <c r="AM5" s="3"/>
      <c r="AN5" s="3">
        <v>1.1892573201473724</v>
      </c>
      <c r="AO5" s="3">
        <v>8560</v>
      </c>
      <c r="AP5" s="3"/>
      <c r="AQ5" s="3"/>
      <c r="AR5" s="3">
        <v>1.7210174466003587</v>
      </c>
      <c r="AS5" s="3">
        <v>12131</v>
      </c>
    </row>
    <row r="6" spans="1:46" ht="22.5" customHeight="1" x14ac:dyDescent="0.25">
      <c r="A6" s="24"/>
      <c r="B6" s="5" t="s">
        <v>13</v>
      </c>
      <c r="C6" s="5">
        <v>0.92176053987162532</v>
      </c>
      <c r="D6" s="3">
        <f>96256877+816772</f>
        <v>97073649</v>
      </c>
      <c r="E6" s="3"/>
      <c r="F6" s="3">
        <v>0.99304089123959682</v>
      </c>
      <c r="G6" s="3">
        <f>81137236+1199058</f>
        <v>82336294</v>
      </c>
      <c r="H6" s="3"/>
      <c r="I6" s="3">
        <v>1.0807053825779738</v>
      </c>
      <c r="J6" s="3">
        <f>94991255+1219269</f>
        <v>96210524</v>
      </c>
      <c r="K6" s="3"/>
      <c r="L6" s="3">
        <v>0.94516986506776546</v>
      </c>
      <c r="M6" s="3">
        <f>82062762+760570</f>
        <v>82823332</v>
      </c>
      <c r="N6" s="3"/>
      <c r="O6" s="3"/>
      <c r="P6" s="3">
        <v>0.98093705082595117</v>
      </c>
      <c r="Q6" s="3">
        <f>81042569+620403</f>
        <v>81662972</v>
      </c>
      <c r="R6" s="3"/>
      <c r="S6" s="3"/>
      <c r="T6" s="3">
        <v>0.94736577085388873</v>
      </c>
      <c r="U6" s="3">
        <f>72485692+472947</f>
        <v>72958639</v>
      </c>
      <c r="V6" s="3"/>
      <c r="W6" s="3"/>
      <c r="X6" s="3">
        <v>1.0613047530477664</v>
      </c>
      <c r="Y6" s="3">
        <f>74038870+541553</f>
        <v>74580423</v>
      </c>
      <c r="Z6" s="3"/>
      <c r="AA6" s="3"/>
      <c r="AB6" s="3">
        <v>1.0584744685061163</v>
      </c>
      <c r="AC6" s="3">
        <f>77379483+531755</f>
        <v>77911238</v>
      </c>
      <c r="AD6" s="3"/>
      <c r="AE6" s="3"/>
      <c r="AF6" s="3">
        <v>1.0021626751184614</v>
      </c>
      <c r="AG6" s="3">
        <f>74423055+544393</f>
        <v>74967448</v>
      </c>
      <c r="AH6" s="3"/>
      <c r="AI6" s="3"/>
      <c r="AJ6" s="3">
        <v>1.0941024710062492</v>
      </c>
      <c r="AK6" s="3">
        <f>82469527+816678</f>
        <v>83286205</v>
      </c>
      <c r="AL6" s="3"/>
      <c r="AM6" s="3"/>
      <c r="AN6" s="3">
        <v>1.0393403602418085</v>
      </c>
      <c r="AO6" s="3">
        <f>87290222+1107734</f>
        <v>88397956</v>
      </c>
      <c r="AP6" s="3"/>
      <c r="AQ6" s="3"/>
      <c r="AR6" s="3">
        <v>1.0682451085098685</v>
      </c>
      <c r="AS6" s="3">
        <f>90434278+1499940</f>
        <v>91934218</v>
      </c>
    </row>
    <row r="7" spans="1:46" ht="22.5" customHeight="1" x14ac:dyDescent="0.25">
      <c r="A7" s="24"/>
      <c r="B7" s="5" t="s">
        <v>14</v>
      </c>
      <c r="C7" s="5">
        <v>0.94531422621414996</v>
      </c>
      <c r="D7" s="3">
        <f>3679554+454564</f>
        <v>4134118</v>
      </c>
      <c r="E7" s="3"/>
      <c r="F7" s="3">
        <v>0.84470235108302039</v>
      </c>
      <c r="G7" s="3">
        <f>3105168+345737</f>
        <v>3450905</v>
      </c>
      <c r="H7" s="3"/>
      <c r="I7" s="3">
        <v>1.1336295666866609</v>
      </c>
      <c r="J7" s="3">
        <f>3557065+377243</f>
        <v>3934308</v>
      </c>
      <c r="K7" s="3"/>
      <c r="L7" s="3">
        <v>0.9320669025714331</v>
      </c>
      <c r="M7" s="3">
        <f>3110374+195871</f>
        <v>3306245</v>
      </c>
      <c r="N7" s="3"/>
      <c r="O7" s="3"/>
      <c r="P7" s="3">
        <v>0.95886425920257867</v>
      </c>
      <c r="Q7" s="3">
        <f>2911218+149751</f>
        <v>3060969</v>
      </c>
      <c r="R7" s="3"/>
      <c r="S7" s="3"/>
      <c r="T7" s="3">
        <v>0.97699327334613195</v>
      </c>
      <c r="U7" s="3">
        <f>2956211+86718</f>
        <v>3042929</v>
      </c>
      <c r="V7" s="3"/>
      <c r="W7" s="3"/>
      <c r="X7" s="3">
        <v>1.0374056813655033</v>
      </c>
      <c r="Y7" s="3">
        <f>3241509+74088</f>
        <v>3315597</v>
      </c>
      <c r="Z7" s="3"/>
      <c r="AA7" s="3"/>
      <c r="AB7" s="3">
        <v>1.0343460978470813</v>
      </c>
      <c r="AC7" s="3">
        <f>3253025+80153</f>
        <v>3333178</v>
      </c>
      <c r="AD7" s="3"/>
      <c r="AE7" s="3"/>
      <c r="AF7" s="3">
        <v>0.94459769672006355</v>
      </c>
      <c r="AG7" s="3">
        <f>2675040+137312</f>
        <v>2812352</v>
      </c>
      <c r="AH7" s="3"/>
      <c r="AI7" s="3"/>
      <c r="AJ7" s="3">
        <v>1.0982878481345772</v>
      </c>
      <c r="AK7" s="3">
        <f>5232174+249247</f>
        <v>5481421</v>
      </c>
      <c r="AL7" s="3"/>
      <c r="AM7" s="3"/>
      <c r="AN7" s="3">
        <v>1.0357261783842195</v>
      </c>
      <c r="AO7" s="3">
        <f>3354825+351931</f>
        <v>3706756</v>
      </c>
      <c r="AP7" s="3"/>
      <c r="AQ7" s="3"/>
      <c r="AR7" s="3">
        <v>1.0723005157268921</v>
      </c>
      <c r="AS7" s="3">
        <f>3584167+427751</f>
        <v>4011918</v>
      </c>
    </row>
    <row r="8" spans="1:46" ht="22.5" customHeight="1" x14ac:dyDescent="0.25">
      <c r="A8" s="24"/>
      <c r="B8" s="5" t="s">
        <v>15</v>
      </c>
      <c r="C8" s="5">
        <v>1.1035292536794348</v>
      </c>
      <c r="D8" s="3">
        <v>1145704</v>
      </c>
      <c r="E8" s="3"/>
      <c r="F8" s="3">
        <v>0.98542029726692348</v>
      </c>
      <c r="G8" s="3">
        <v>900482</v>
      </c>
      <c r="H8" s="3"/>
      <c r="I8" s="3">
        <v>0.89271343050116159</v>
      </c>
      <c r="J8" s="3">
        <v>884543</v>
      </c>
      <c r="K8" s="3"/>
      <c r="L8" s="3">
        <v>0.55165723116557008</v>
      </c>
      <c r="M8" s="3">
        <v>586072</v>
      </c>
      <c r="N8" s="3"/>
      <c r="O8" s="3"/>
      <c r="P8" s="3"/>
      <c r="Q8" s="3">
        <v>517657</v>
      </c>
      <c r="R8" s="3"/>
      <c r="S8" s="3"/>
      <c r="T8" s="3">
        <v>0.8081152860862999</v>
      </c>
      <c r="U8" s="3">
        <v>406641</v>
      </c>
      <c r="V8" s="3"/>
      <c r="W8" s="3"/>
      <c r="X8" s="3">
        <v>1.3680882836674633</v>
      </c>
      <c r="Y8" s="3">
        <v>388316</v>
      </c>
      <c r="Z8" s="3"/>
      <c r="AA8" s="3"/>
      <c r="AB8" s="3">
        <v>0.78351752635229732</v>
      </c>
      <c r="AC8" s="3">
        <v>408247</v>
      </c>
      <c r="AD8" s="3"/>
      <c r="AE8" s="3"/>
      <c r="AF8" s="3">
        <v>1.4886811718571786</v>
      </c>
      <c r="AG8" s="17">
        <v>451051</v>
      </c>
      <c r="AH8" s="3"/>
      <c r="AI8" s="3"/>
      <c r="AJ8" s="3">
        <v>1.1995162225959801</v>
      </c>
      <c r="AK8" s="3">
        <v>637152</v>
      </c>
      <c r="AL8" s="3"/>
      <c r="AM8" s="3"/>
      <c r="AN8" s="3">
        <v>1.2514090011831656</v>
      </c>
      <c r="AO8" s="3">
        <v>850491</v>
      </c>
      <c r="AP8" s="3"/>
      <c r="AQ8" s="3"/>
      <c r="AR8" s="3">
        <v>1.2514467585559879</v>
      </c>
      <c r="AS8" s="3">
        <v>1055757</v>
      </c>
    </row>
    <row r="9" spans="1:46" ht="22.5" customHeight="1" x14ac:dyDescent="0.25">
      <c r="A9" s="24"/>
      <c r="B9" s="5" t="s">
        <v>16</v>
      </c>
      <c r="C9" s="5">
        <v>0.97184084633036438</v>
      </c>
      <c r="D9" s="3">
        <v>36183</v>
      </c>
      <c r="E9" s="3"/>
      <c r="F9" s="3">
        <v>1.7573938447992956</v>
      </c>
      <c r="G9" s="3">
        <v>32008</v>
      </c>
      <c r="H9" s="3"/>
      <c r="I9" s="3">
        <v>0.77853434141009292</v>
      </c>
      <c r="J9" s="3">
        <v>29925</v>
      </c>
      <c r="K9" s="3"/>
      <c r="L9" s="3">
        <v>0.68780530611050983</v>
      </c>
      <c r="M9" s="3">
        <v>26774</v>
      </c>
      <c r="N9" s="3"/>
      <c r="O9" s="3"/>
      <c r="P9" s="3"/>
      <c r="Q9" s="3">
        <v>29572</v>
      </c>
      <c r="R9" s="3"/>
      <c r="S9" s="3"/>
      <c r="T9" s="3">
        <v>0.81630847686943853</v>
      </c>
      <c r="U9" s="3">
        <v>25876</v>
      </c>
      <c r="V9" s="3"/>
      <c r="W9" s="3"/>
      <c r="X9" s="3">
        <v>1.0367183017785429</v>
      </c>
      <c r="Y9" s="3">
        <v>27127</v>
      </c>
      <c r="Z9" s="3"/>
      <c r="AA9" s="3"/>
      <c r="AB9" s="3">
        <v>0.99182192707372563</v>
      </c>
      <c r="AC9" s="3">
        <v>31568</v>
      </c>
      <c r="AD9" s="3"/>
      <c r="AE9" s="3"/>
      <c r="AF9" s="3">
        <v>1.2329820210787352</v>
      </c>
      <c r="AG9" s="17">
        <v>28229</v>
      </c>
      <c r="AH9" s="3"/>
      <c r="AI9" s="3"/>
      <c r="AJ9" s="3">
        <v>1.0581255028157683</v>
      </c>
      <c r="AK9" s="3">
        <v>35461</v>
      </c>
      <c r="AL9" s="3"/>
      <c r="AM9" s="3"/>
      <c r="AN9" s="3">
        <v>1.6534404105683329</v>
      </c>
      <c r="AO9" s="3">
        <v>46173</v>
      </c>
      <c r="AP9" s="3"/>
      <c r="AQ9" s="3"/>
      <c r="AR9" s="3">
        <v>1.0202327920678258</v>
      </c>
      <c r="AS9" s="3">
        <v>40460</v>
      </c>
    </row>
    <row r="10" spans="1:46" ht="22.5" customHeight="1" x14ac:dyDescent="0.25">
      <c r="A10" s="24"/>
      <c r="B10" s="26" t="s">
        <v>19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8"/>
    </row>
    <row r="11" spans="1:46" ht="22.5" customHeight="1" x14ac:dyDescent="0.25">
      <c r="A11" s="25"/>
      <c r="B11" s="4"/>
      <c r="C11" s="4">
        <v>1.1875788146279949</v>
      </c>
      <c r="D11" s="3">
        <f>1156+1977</f>
        <v>3133</v>
      </c>
      <c r="E11" s="3"/>
      <c r="F11" s="3">
        <v>0.79877886912662599</v>
      </c>
      <c r="G11" s="3">
        <f>1551+2876</f>
        <v>4427</v>
      </c>
      <c r="H11" s="3"/>
      <c r="I11" s="3">
        <v>0.92888002658690594</v>
      </c>
      <c r="J11" s="3">
        <f>896+2070</f>
        <v>2966</v>
      </c>
      <c r="K11" s="3"/>
      <c r="L11" s="3">
        <v>0.87871198568872988</v>
      </c>
      <c r="M11" s="3">
        <v>793</v>
      </c>
      <c r="N11" s="3"/>
      <c r="O11" s="3"/>
      <c r="P11" s="3">
        <v>0.57736156351791534</v>
      </c>
      <c r="Q11" s="3">
        <v>1311</v>
      </c>
      <c r="R11" s="3"/>
      <c r="S11" s="3"/>
      <c r="T11" s="3">
        <v>1.530324400564175</v>
      </c>
      <c r="U11" s="3">
        <f>877+887</f>
        <v>1764</v>
      </c>
      <c r="V11" s="3"/>
      <c r="W11" s="3"/>
      <c r="X11" s="3">
        <v>0.97511520737327184</v>
      </c>
      <c r="Y11" s="3">
        <f>1225+976</f>
        <v>2201</v>
      </c>
      <c r="Z11" s="3"/>
      <c r="AA11" s="3"/>
      <c r="AB11" s="3">
        <v>1.0373345935727789</v>
      </c>
      <c r="AC11" s="3">
        <f>718+695</f>
        <v>1413</v>
      </c>
      <c r="AD11" s="3"/>
      <c r="AE11" s="3"/>
      <c r="AF11" s="3">
        <v>0.82004555808656032</v>
      </c>
      <c r="AG11" s="3">
        <f>1036+1193</f>
        <v>2229</v>
      </c>
      <c r="AH11" s="3"/>
      <c r="AI11" s="3"/>
      <c r="AJ11" s="3">
        <v>1.5494444444444444</v>
      </c>
      <c r="AK11" s="3">
        <f>1176+1032</f>
        <v>2208</v>
      </c>
      <c r="AL11" s="3"/>
      <c r="AM11" s="3"/>
      <c r="AN11" s="3">
        <v>1.2983148081749731</v>
      </c>
      <c r="AO11" s="3">
        <f>1479+1735</f>
        <v>3214</v>
      </c>
      <c r="AP11" s="3"/>
      <c r="AQ11" s="3"/>
      <c r="AR11" s="3">
        <v>1.3960231980115989</v>
      </c>
      <c r="AS11" s="3">
        <f>1571+1994</f>
        <v>3565</v>
      </c>
    </row>
    <row r="12" spans="1:46" ht="22.5" customHeight="1" x14ac:dyDescent="0.25">
      <c r="A12" s="29" t="s">
        <v>17</v>
      </c>
      <c r="B12" s="30"/>
      <c r="C12" s="19"/>
      <c r="D12" s="9">
        <f>SUM(D5:D9,D11)</f>
        <v>102400521</v>
      </c>
      <c r="E12" s="9"/>
      <c r="F12" s="9"/>
      <c r="G12" s="9">
        <f t="shared" ref="G12:AS12" si="0">SUM(G5:G9,G11)</f>
        <v>86735158</v>
      </c>
      <c r="H12" s="9"/>
      <c r="I12" s="9"/>
      <c r="J12" s="9">
        <f t="shared" si="0"/>
        <v>101071683</v>
      </c>
      <c r="K12" s="9"/>
      <c r="L12" s="9"/>
      <c r="M12" s="9">
        <f t="shared" si="0"/>
        <v>86748333</v>
      </c>
      <c r="N12" s="9"/>
      <c r="O12" s="9"/>
      <c r="P12" s="9"/>
      <c r="Q12" s="9">
        <f t="shared" si="0"/>
        <v>85276848</v>
      </c>
      <c r="R12" s="9"/>
      <c r="S12" s="9"/>
      <c r="T12" s="9"/>
      <c r="U12" s="9">
        <f t="shared" si="0"/>
        <v>76439787</v>
      </c>
      <c r="V12" s="9"/>
      <c r="W12" s="9"/>
      <c r="X12" s="9"/>
      <c r="Y12" s="9">
        <f t="shared" si="0"/>
        <v>78317621</v>
      </c>
      <c r="Z12" s="9"/>
      <c r="AA12" s="9"/>
      <c r="AB12" s="9"/>
      <c r="AC12" s="9">
        <f t="shared" si="0"/>
        <v>81689549</v>
      </c>
      <c r="AD12" s="9"/>
      <c r="AE12" s="9"/>
      <c r="AF12" s="9"/>
      <c r="AG12" s="9">
        <f t="shared" si="0"/>
        <v>78265521</v>
      </c>
      <c r="AH12" s="9"/>
      <c r="AI12" s="9"/>
      <c r="AJ12" s="9"/>
      <c r="AK12" s="9">
        <f t="shared" si="0"/>
        <v>89455512</v>
      </c>
      <c r="AL12" s="9"/>
      <c r="AM12" s="9"/>
      <c r="AN12" s="9"/>
      <c r="AO12" s="9">
        <f t="shared" si="0"/>
        <v>93013150</v>
      </c>
      <c r="AP12" s="9"/>
      <c r="AQ12" s="9"/>
      <c r="AR12" s="9"/>
      <c r="AS12" s="9">
        <f t="shared" si="0"/>
        <v>97058049</v>
      </c>
    </row>
  </sheetData>
  <mergeCells count="5">
    <mergeCell ref="A2:AS2"/>
    <mergeCell ref="A4:A11"/>
    <mergeCell ref="B4:AS4"/>
    <mergeCell ref="B10:AS10"/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B10" sqref="B10:N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" customFormat="1" ht="33" customHeight="1" x14ac:dyDescent="0.25">
      <c r="A3" s="6" t="s">
        <v>21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23" t="s">
        <v>26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22.5" customHeight="1" x14ac:dyDescent="0.25">
      <c r="A5" s="24"/>
      <c r="B5" s="20" t="s">
        <v>30</v>
      </c>
      <c r="C5" s="3">
        <v>12388</v>
      </c>
      <c r="D5" s="3">
        <v>10790</v>
      </c>
      <c r="E5" s="3">
        <v>8836</v>
      </c>
      <c r="F5" s="3">
        <v>5342</v>
      </c>
      <c r="G5" s="3">
        <v>4817</v>
      </c>
      <c r="H5" s="3">
        <v>3764</v>
      </c>
      <c r="I5" s="3">
        <v>3793</v>
      </c>
      <c r="J5" s="3">
        <v>3902</v>
      </c>
      <c r="K5" s="17">
        <v>41222</v>
      </c>
      <c r="L5" s="3">
        <v>4942</v>
      </c>
      <c r="M5" s="3">
        <v>6158</v>
      </c>
      <c r="N5" s="3">
        <v>8944</v>
      </c>
    </row>
    <row r="6" spans="1:14" ht="22.5" customHeight="1" x14ac:dyDescent="0.25">
      <c r="A6" s="24"/>
      <c r="B6" s="5" t="s">
        <v>13</v>
      </c>
      <c r="C6" s="3">
        <f>91567451+71268+728418</f>
        <v>92367137</v>
      </c>
      <c r="D6" s="3">
        <f>80715686+1306040</f>
        <v>82021726</v>
      </c>
      <c r="E6" s="3">
        <f>87719134+1114231</f>
        <v>88833365</v>
      </c>
      <c r="F6" s="3">
        <f>80694766+664009</f>
        <v>81358775</v>
      </c>
      <c r="G6" s="3">
        <v>72686866</v>
      </c>
      <c r="H6" s="3">
        <v>78801850</v>
      </c>
      <c r="I6" s="3">
        <f>79331196+562378</f>
        <v>79893574</v>
      </c>
      <c r="J6" s="3">
        <f>72826984+247243</f>
        <v>73074227</v>
      </c>
      <c r="K6" s="17">
        <f>72622039+263955</f>
        <v>72885994</v>
      </c>
      <c r="L6" s="3">
        <f>81069644+437779</f>
        <v>81507423</v>
      </c>
      <c r="M6" s="3">
        <f>82004734+534059</f>
        <v>82538793</v>
      </c>
      <c r="N6" s="3">
        <f>86896446+692187+69139</f>
        <v>87657772</v>
      </c>
    </row>
    <row r="7" spans="1:14" ht="22.5" customHeight="1" x14ac:dyDescent="0.25">
      <c r="A7" s="24"/>
      <c r="B7" s="5" t="s">
        <v>14</v>
      </c>
      <c r="C7" s="3">
        <f>3759013+149808+4110067</f>
        <v>8018888</v>
      </c>
      <c r="D7" s="3">
        <f>3178633+349788</f>
        <v>3528421</v>
      </c>
      <c r="E7" s="3">
        <f>3744070+340861</f>
        <v>4084931</v>
      </c>
      <c r="F7" s="3">
        <f>3321926+204703</f>
        <v>3526629</v>
      </c>
      <c r="G7" s="3">
        <v>3505845</v>
      </c>
      <c r="H7" s="3">
        <v>3753560</v>
      </c>
      <c r="I7" s="3">
        <f>3768394+69153</f>
        <v>3837547</v>
      </c>
      <c r="J7" s="3">
        <f>3794200+87746</f>
        <v>3881946</v>
      </c>
      <c r="K7" s="3">
        <f>3694701+156628</f>
        <v>3851329</v>
      </c>
      <c r="L7" s="3">
        <f>4112441+235252</f>
        <v>4347693</v>
      </c>
      <c r="M7" s="3">
        <f>4397956+295439</f>
        <v>4693395</v>
      </c>
      <c r="N7" s="3">
        <f>4378520+314396+141131</f>
        <v>4834047</v>
      </c>
    </row>
    <row r="8" spans="1:14" ht="22.5" customHeight="1" x14ac:dyDescent="0.25">
      <c r="A8" s="24"/>
      <c r="B8" s="5" t="s">
        <v>15</v>
      </c>
      <c r="C8" s="3">
        <f>57042+18132+1075468</f>
        <v>1150642</v>
      </c>
      <c r="D8" s="3">
        <v>969602</v>
      </c>
      <c r="E8" s="3">
        <v>720168</v>
      </c>
      <c r="F8" s="3">
        <v>450866</v>
      </c>
      <c r="G8" s="3">
        <v>354174</v>
      </c>
      <c r="H8" s="3">
        <v>404653</v>
      </c>
      <c r="I8" s="3">
        <v>432686</v>
      </c>
      <c r="J8" s="3">
        <f>59571+377592</f>
        <v>437163</v>
      </c>
      <c r="K8" s="17">
        <f>86415+367484</f>
        <v>453899</v>
      </c>
      <c r="L8" s="3">
        <f>115255+538478</f>
        <v>653733</v>
      </c>
      <c r="M8" s="3">
        <f>177094+603399</f>
        <v>780493</v>
      </c>
      <c r="N8" s="3">
        <f>161844+48788+822784+18469</f>
        <v>1051885</v>
      </c>
    </row>
    <row r="9" spans="1:14" ht="22.5" customHeight="1" x14ac:dyDescent="0.25">
      <c r="A9" s="24"/>
      <c r="B9" s="5" t="s">
        <v>16</v>
      </c>
      <c r="C9" s="3">
        <f>29680+506+27179</f>
        <v>57365</v>
      </c>
      <c r="D9" s="3">
        <v>45681</v>
      </c>
      <c r="E9" s="3">
        <v>38646</v>
      </c>
      <c r="F9" s="3">
        <v>30648</v>
      </c>
      <c r="G9" s="3">
        <v>26818</v>
      </c>
      <c r="H9" s="3">
        <v>27563</v>
      </c>
      <c r="I9" s="3">
        <v>28187</v>
      </c>
      <c r="J9" s="3">
        <v>28827</v>
      </c>
      <c r="K9" s="17">
        <v>34272</v>
      </c>
      <c r="L9" s="3">
        <v>30592</v>
      </c>
      <c r="M9" s="3">
        <v>34844</v>
      </c>
      <c r="N9" s="3">
        <f>17500+24151+290</f>
        <v>41941</v>
      </c>
    </row>
    <row r="10" spans="1:14" ht="22.5" customHeight="1" x14ac:dyDescent="0.25">
      <c r="A10" s="24"/>
      <c r="B10" s="26" t="s">
        <v>19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 ht="22.5" customHeight="1" x14ac:dyDescent="0.25">
      <c r="A11" s="25"/>
      <c r="B11" s="4"/>
      <c r="C11" s="3">
        <f>1459+4249</f>
        <v>5708</v>
      </c>
      <c r="D11" s="3">
        <f>1380+1245</f>
        <v>2625</v>
      </c>
      <c r="E11" s="3">
        <f>1678+1548</f>
        <v>3226</v>
      </c>
      <c r="F11" s="3">
        <f>1646+1842</f>
        <v>3488</v>
      </c>
      <c r="G11" s="3">
        <v>4693</v>
      </c>
      <c r="H11" s="3">
        <v>2347</v>
      </c>
      <c r="I11" s="3">
        <f>1222+979</f>
        <v>2201</v>
      </c>
      <c r="J11" s="3">
        <f>1702+888</f>
        <v>2590</v>
      </c>
      <c r="K11" s="3">
        <f>1792+1237</f>
        <v>3029</v>
      </c>
      <c r="L11" s="3">
        <f>1326+1344</f>
        <v>2670</v>
      </c>
      <c r="M11" s="3">
        <f>869+1586</f>
        <v>2455</v>
      </c>
      <c r="N11" s="3">
        <f>2004+4524</f>
        <v>6528</v>
      </c>
    </row>
    <row r="12" spans="1:14" ht="22.5" customHeight="1" x14ac:dyDescent="0.25">
      <c r="A12" s="29" t="s">
        <v>17</v>
      </c>
      <c r="B12" s="30"/>
      <c r="C12" s="9">
        <f>SUM(C5:C9,C11)</f>
        <v>101612128</v>
      </c>
      <c r="D12" s="9">
        <f t="shared" ref="D12:N12" si="0">SUM(D5:D9,D11)</f>
        <v>86578845</v>
      </c>
      <c r="E12" s="9">
        <f t="shared" si="0"/>
        <v>93689172</v>
      </c>
      <c r="F12" s="9">
        <f t="shared" si="0"/>
        <v>85375748</v>
      </c>
      <c r="G12" s="9">
        <f t="shared" si="0"/>
        <v>76583213</v>
      </c>
      <c r="H12" s="9">
        <f t="shared" si="0"/>
        <v>82993737</v>
      </c>
      <c r="I12" s="9">
        <f t="shared" si="0"/>
        <v>84197988</v>
      </c>
      <c r="J12" s="9">
        <f t="shared" si="0"/>
        <v>77428655</v>
      </c>
      <c r="K12" s="9">
        <f t="shared" si="0"/>
        <v>77269745</v>
      </c>
      <c r="L12" s="9">
        <f t="shared" si="0"/>
        <v>86547053</v>
      </c>
      <c r="M12" s="9">
        <f t="shared" si="0"/>
        <v>88056138</v>
      </c>
      <c r="N12" s="9">
        <f t="shared" si="0"/>
        <v>93601117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zoomScale="70" zoomScaleNormal="70" workbookViewId="0">
      <selection activeCell="N12" sqref="N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" customFormat="1" ht="33" customHeight="1" x14ac:dyDescent="0.25">
      <c r="A3" s="6" t="s">
        <v>21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23" t="s">
        <v>26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22.5" customHeight="1" x14ac:dyDescent="0.25">
      <c r="A5" s="24"/>
      <c r="B5" s="21" t="s">
        <v>30</v>
      </c>
      <c r="C5" s="3">
        <f>122354+7237</f>
        <v>129591</v>
      </c>
      <c r="D5" s="3">
        <f>107769+6315</f>
        <v>114084</v>
      </c>
      <c r="E5" s="3">
        <f>133453+6139</f>
        <v>139592</v>
      </c>
      <c r="F5" s="3">
        <f>135863+4492</f>
        <v>140355</v>
      </c>
      <c r="G5" s="3">
        <v>194838</v>
      </c>
      <c r="H5" s="3">
        <f>2188+119166</f>
        <v>121354</v>
      </c>
      <c r="I5" s="3">
        <f>3854+110338</f>
        <v>114192</v>
      </c>
      <c r="J5" s="3">
        <f>83866+3930</f>
        <v>87796</v>
      </c>
      <c r="K5" s="17">
        <f>85510+33248</f>
        <v>118758</v>
      </c>
      <c r="L5" s="3">
        <f>109580+5353</f>
        <v>114933</v>
      </c>
      <c r="M5" s="3">
        <f>106124+6258</f>
        <v>112382</v>
      </c>
      <c r="N5" s="3">
        <f>111382+6829</f>
        <v>118211</v>
      </c>
    </row>
    <row r="6" spans="1:14" ht="22.5" customHeight="1" x14ac:dyDescent="0.25">
      <c r="A6" s="24"/>
      <c r="B6" s="5" t="s">
        <v>13</v>
      </c>
      <c r="C6" s="3">
        <f>89312793+815050</f>
        <v>90127843</v>
      </c>
      <c r="D6" s="3">
        <f>80286160+715034</f>
        <v>81001194</v>
      </c>
      <c r="E6" s="3">
        <f>85055817+58168+593835</f>
        <v>85707820</v>
      </c>
      <c r="F6" s="3">
        <f>66120795+5845636+344092</f>
        <v>72310523</v>
      </c>
      <c r="G6" s="3">
        <v>75819669</v>
      </c>
      <c r="H6" s="3">
        <v>69393160</v>
      </c>
      <c r="I6" s="3">
        <f>70226926+216591</f>
        <v>70443517</v>
      </c>
      <c r="J6" s="3">
        <f>73997065+244979</f>
        <v>74242044</v>
      </c>
      <c r="K6" s="17">
        <f>65313104+242371</f>
        <v>65555475</v>
      </c>
      <c r="L6" s="3">
        <f>75450289+456678</f>
        <v>75906967</v>
      </c>
      <c r="M6" s="3">
        <f>76333880+599043</f>
        <v>76932923</v>
      </c>
      <c r="N6" s="3">
        <f>83546650+706472</f>
        <v>84253122</v>
      </c>
    </row>
    <row r="7" spans="1:14" ht="22.5" customHeight="1" x14ac:dyDescent="0.25">
      <c r="A7" s="24"/>
      <c r="B7" s="5" t="s">
        <v>14</v>
      </c>
      <c r="C7" s="3">
        <f>4369830+452549</f>
        <v>4822379</v>
      </c>
      <c r="D7" s="3">
        <f>3806569+380619</f>
        <v>4187188</v>
      </c>
      <c r="E7" s="3">
        <f>4314542+117406+268151</f>
        <v>4700099</v>
      </c>
      <c r="F7" s="3">
        <f>3543481+164090</f>
        <v>3707571</v>
      </c>
      <c r="G7" s="3">
        <v>3573114</v>
      </c>
      <c r="H7" s="3">
        <v>3372302</v>
      </c>
      <c r="I7" s="3">
        <f>3520652+58882</f>
        <v>3579534</v>
      </c>
      <c r="J7" s="3">
        <f>3798931+93649</f>
        <v>3892580</v>
      </c>
      <c r="K7" s="3">
        <f>3520414+117140</f>
        <v>3637554</v>
      </c>
      <c r="L7" s="3">
        <f>4123813+244842</f>
        <v>4368655</v>
      </c>
      <c r="M7" s="3">
        <f>4206617+310707</f>
        <v>4517324</v>
      </c>
      <c r="N7" s="3">
        <f>4419032+372186</f>
        <v>4791218</v>
      </c>
    </row>
    <row r="8" spans="1:14" ht="22.5" customHeight="1" x14ac:dyDescent="0.25">
      <c r="A8" s="24"/>
      <c r="B8" s="5" t="s">
        <v>15</v>
      </c>
      <c r="C8" s="3">
        <f>271925+1002014</f>
        <v>1273939</v>
      </c>
      <c r="D8" s="3">
        <f>223612+722939</f>
        <v>946551</v>
      </c>
      <c r="E8" s="3">
        <f>197049+42461+15500+731126</f>
        <v>986136</v>
      </c>
      <c r="F8" s="3">
        <f>89949+433468</f>
        <v>523417</v>
      </c>
      <c r="G8" s="3">
        <v>79510</v>
      </c>
      <c r="H8" s="3">
        <v>372320</v>
      </c>
      <c r="I8" s="3">
        <f>60851+373505</f>
        <v>434356</v>
      </c>
      <c r="J8" s="3">
        <f>57564+329191</f>
        <v>386755</v>
      </c>
      <c r="K8" s="17">
        <f>70318+331618</f>
        <v>401936</v>
      </c>
      <c r="L8" s="3">
        <f>112965+467689</f>
        <v>580654</v>
      </c>
      <c r="M8" s="3">
        <f>169637+648295</f>
        <v>817932</v>
      </c>
      <c r="N8" s="3">
        <f>217529+726737</f>
        <v>944266</v>
      </c>
    </row>
    <row r="9" spans="1:14" ht="22.5" customHeight="1" x14ac:dyDescent="0.25">
      <c r="A9" s="24"/>
      <c r="B9" s="5" t="s">
        <v>16</v>
      </c>
      <c r="C9" s="3">
        <v>48196</v>
      </c>
      <c r="D9" s="3">
        <v>46793</v>
      </c>
      <c r="E9" s="3">
        <f>11635+166+22661</f>
        <v>34462</v>
      </c>
      <c r="F9" s="3">
        <v>30789</v>
      </c>
      <c r="G9" s="3"/>
      <c r="H9" s="3">
        <v>28567</v>
      </c>
      <c r="I9" s="3">
        <v>30794</v>
      </c>
      <c r="J9" s="3">
        <v>24272</v>
      </c>
      <c r="K9" s="17">
        <v>28945</v>
      </c>
      <c r="L9" s="3">
        <v>38380</v>
      </c>
      <c r="M9" s="3">
        <v>40144</v>
      </c>
      <c r="N9" s="3">
        <v>42583</v>
      </c>
    </row>
    <row r="10" spans="1:14" ht="22.5" customHeight="1" x14ac:dyDescent="0.25">
      <c r="A10" s="24"/>
      <c r="B10" s="26" t="s">
        <v>19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 ht="22.5" customHeight="1" x14ac:dyDescent="0.25">
      <c r="A11" s="25"/>
      <c r="B11" s="4"/>
      <c r="C11" s="3">
        <f>1492+2640</f>
        <v>4132</v>
      </c>
      <c r="D11" s="3">
        <f>1191+2176</f>
        <v>3367</v>
      </c>
      <c r="E11" s="3">
        <f>1437+3454</f>
        <v>4891</v>
      </c>
      <c r="F11" s="3">
        <f>1376+1327</f>
        <v>2703</v>
      </c>
      <c r="G11" s="3">
        <v>1687</v>
      </c>
      <c r="H11" s="3">
        <v>1739</v>
      </c>
      <c r="I11" s="3">
        <f>1013+1207</f>
        <v>2220</v>
      </c>
      <c r="J11" s="3">
        <f>973+1203</f>
        <v>2176</v>
      </c>
      <c r="K11" s="3">
        <f>943+1443</f>
        <v>2386</v>
      </c>
      <c r="L11" s="3">
        <f>1544+1894</f>
        <v>3438</v>
      </c>
      <c r="M11" s="3">
        <f>1014+2167</f>
        <v>3181</v>
      </c>
      <c r="N11" s="3">
        <f>1122+1188</f>
        <v>2310</v>
      </c>
    </row>
    <row r="12" spans="1:14" ht="22.5" customHeight="1" x14ac:dyDescent="0.25">
      <c r="A12" s="29" t="s">
        <v>17</v>
      </c>
      <c r="B12" s="30"/>
      <c r="C12" s="9">
        <f>SUM(C5:C9,C11)</f>
        <v>96406080</v>
      </c>
      <c r="D12" s="9">
        <f t="shared" ref="D12:N12" si="0">SUM(D5:D9,D11)</f>
        <v>86299177</v>
      </c>
      <c r="E12" s="9">
        <f t="shared" si="0"/>
        <v>91573000</v>
      </c>
      <c r="F12" s="9">
        <f t="shared" si="0"/>
        <v>76715358</v>
      </c>
      <c r="G12" s="9">
        <f t="shared" si="0"/>
        <v>79668818</v>
      </c>
      <c r="H12" s="9">
        <f t="shared" si="0"/>
        <v>73289442</v>
      </c>
      <c r="I12" s="9">
        <f t="shared" si="0"/>
        <v>74604613</v>
      </c>
      <c r="J12" s="9">
        <f t="shared" si="0"/>
        <v>78635623</v>
      </c>
      <c r="K12" s="9">
        <f t="shared" si="0"/>
        <v>69745054</v>
      </c>
      <c r="L12" s="9">
        <f t="shared" si="0"/>
        <v>81013027</v>
      </c>
      <c r="M12" s="9">
        <f t="shared" si="0"/>
        <v>82423886</v>
      </c>
      <c r="N12" s="9">
        <f t="shared" si="0"/>
        <v>90151710</v>
      </c>
    </row>
    <row r="14" spans="1:14" ht="22.5" customHeight="1" x14ac:dyDescent="0.25">
      <c r="F14" s="10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C11" sqref="C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" customFormat="1" ht="33" customHeight="1" x14ac:dyDescent="0.25">
      <c r="A3" s="6" t="s">
        <v>21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23" t="s">
        <v>22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22.5" customHeight="1" x14ac:dyDescent="0.25">
      <c r="A5" s="24"/>
      <c r="B5" s="5" t="s">
        <v>13</v>
      </c>
      <c r="C5" s="3">
        <v>97326567.999999985</v>
      </c>
      <c r="D5" s="3">
        <v>88053638</v>
      </c>
      <c r="E5" s="3">
        <v>93642812.999999985</v>
      </c>
      <c r="F5" s="3">
        <v>85779759</v>
      </c>
      <c r="G5" s="3">
        <v>83418654</v>
      </c>
      <c r="H5" s="3">
        <v>81096165.00000003</v>
      </c>
      <c r="I5" s="3">
        <v>81064242</v>
      </c>
      <c r="J5" s="3">
        <v>79334476</v>
      </c>
      <c r="K5" s="3">
        <v>82317122.999999985</v>
      </c>
      <c r="L5" s="3">
        <v>90955325.999999985</v>
      </c>
      <c r="M5" s="3">
        <v>93308781</v>
      </c>
      <c r="N5" s="3">
        <v>97022329</v>
      </c>
    </row>
    <row r="6" spans="1:14" ht="22.5" customHeight="1" x14ac:dyDescent="0.25">
      <c r="A6" s="24"/>
      <c r="B6" s="5" t="s">
        <v>14</v>
      </c>
      <c r="C6" s="3">
        <v>3819150</v>
      </c>
      <c r="D6" s="3">
        <v>3614591.9999999995</v>
      </c>
      <c r="E6" s="3">
        <v>3819118</v>
      </c>
      <c r="F6" s="3">
        <v>3256932.0000000005</v>
      </c>
      <c r="G6" s="3">
        <v>3139390.9999999995</v>
      </c>
      <c r="H6" s="3">
        <v>3280355</v>
      </c>
      <c r="I6" s="3">
        <v>2971881.0000000005</v>
      </c>
      <c r="J6" s="3">
        <v>2631745.9999999995</v>
      </c>
      <c r="K6" s="3">
        <v>2450198.0000000005</v>
      </c>
      <c r="L6" s="3">
        <v>2762901</v>
      </c>
      <c r="M6" s="3">
        <v>3033653.9999999995</v>
      </c>
      <c r="N6" s="3">
        <v>3257787.0000000005</v>
      </c>
    </row>
    <row r="7" spans="1:14" ht="22.5" customHeight="1" x14ac:dyDescent="0.25">
      <c r="A7" s="24"/>
      <c r="B7" s="5" t="s">
        <v>15</v>
      </c>
      <c r="C7" s="3">
        <v>1774451.0000000002</v>
      </c>
      <c r="D7" s="3">
        <v>1661454.0000000002</v>
      </c>
      <c r="E7" s="3">
        <v>1422298</v>
      </c>
      <c r="F7" s="3">
        <v>1162572.0000000002</v>
      </c>
      <c r="G7" s="3">
        <v>727811.00000000012</v>
      </c>
      <c r="H7" s="3">
        <v>648785.00000000012</v>
      </c>
      <c r="I7" s="3">
        <v>702735.00000000012</v>
      </c>
      <c r="J7" s="3">
        <v>763046</v>
      </c>
      <c r="K7" s="3">
        <v>992703</v>
      </c>
      <c r="L7" s="3">
        <v>1357538</v>
      </c>
      <c r="M7" s="3">
        <v>1419309.9999999998</v>
      </c>
      <c r="N7" s="3">
        <v>1625001</v>
      </c>
    </row>
    <row r="8" spans="1:14" ht="22.5" customHeight="1" x14ac:dyDescent="0.25">
      <c r="A8" s="24"/>
      <c r="B8" s="5" t="s">
        <v>16</v>
      </c>
      <c r="C8" s="3">
        <v>54453</v>
      </c>
      <c r="D8" s="3">
        <v>52633</v>
      </c>
      <c r="E8" s="3">
        <v>39474</v>
      </c>
      <c r="F8" s="3">
        <v>34250</v>
      </c>
      <c r="G8" s="3">
        <v>17570</v>
      </c>
      <c r="H8" s="3">
        <v>14662</v>
      </c>
      <c r="I8" s="3">
        <v>14209.000000000002</v>
      </c>
      <c r="J8" s="3">
        <v>12533</v>
      </c>
      <c r="K8" s="3">
        <v>22589.000000000004</v>
      </c>
      <c r="L8" s="3">
        <v>36249.000000000007</v>
      </c>
      <c r="M8" s="3">
        <v>47506</v>
      </c>
      <c r="N8" s="3">
        <v>54474</v>
      </c>
    </row>
    <row r="9" spans="1:14" ht="22.5" customHeight="1" x14ac:dyDescent="0.25">
      <c r="A9" s="24"/>
      <c r="B9" s="26" t="s">
        <v>19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22.5" customHeight="1" x14ac:dyDescent="0.25">
      <c r="A10" s="25"/>
      <c r="B10" s="4"/>
      <c r="C10" s="3">
        <v>14455</v>
      </c>
      <c r="D10" s="3">
        <v>12893</v>
      </c>
      <c r="E10" s="3">
        <v>12823</v>
      </c>
      <c r="F10" s="3">
        <v>10449</v>
      </c>
      <c r="G10" s="3">
        <v>8256</v>
      </c>
      <c r="H10" s="3">
        <v>5869</v>
      </c>
      <c r="I10" s="3">
        <v>7231</v>
      </c>
      <c r="J10" s="3">
        <v>6388</v>
      </c>
      <c r="K10" s="3">
        <v>9192</v>
      </c>
      <c r="L10" s="3">
        <v>10943</v>
      </c>
      <c r="M10" s="3">
        <v>12622</v>
      </c>
      <c r="N10" s="3">
        <v>13578</v>
      </c>
    </row>
    <row r="11" spans="1:14" ht="22.5" customHeight="1" x14ac:dyDescent="0.25">
      <c r="A11" s="29" t="s">
        <v>17</v>
      </c>
      <c r="B11" s="30"/>
      <c r="C11" s="9">
        <f>SUM(C5:C8,C10)</f>
        <v>102989076.99999999</v>
      </c>
      <c r="D11" s="9">
        <f t="shared" ref="D11:N11" si="0">SUM(D5:D8,D10)</f>
        <v>93395210</v>
      </c>
      <c r="E11" s="9">
        <f t="shared" si="0"/>
        <v>98936525.999999985</v>
      </c>
      <c r="F11" s="9">
        <f t="shared" si="0"/>
        <v>90243962</v>
      </c>
      <c r="G11" s="9">
        <f>SUM(G5:G8,G10)</f>
        <v>87311682</v>
      </c>
      <c r="H11" s="9">
        <f t="shared" si="0"/>
        <v>85045836.00000003</v>
      </c>
      <c r="I11" s="9">
        <f t="shared" si="0"/>
        <v>84760298</v>
      </c>
      <c r="J11" s="9">
        <f t="shared" si="0"/>
        <v>82748189</v>
      </c>
      <c r="K11" s="9">
        <f t="shared" si="0"/>
        <v>85791804.999999985</v>
      </c>
      <c r="L11" s="9">
        <f t="shared" si="0"/>
        <v>95122956.999999985</v>
      </c>
      <c r="M11" s="9">
        <f t="shared" si="0"/>
        <v>97821873</v>
      </c>
      <c r="N11" s="9">
        <f t="shared" si="0"/>
        <v>101973169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85" zoomScaleNormal="85"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" customFormat="1" ht="33" customHeight="1" x14ac:dyDescent="0.25">
      <c r="A3" s="6" t="s">
        <v>21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23" t="s">
        <v>22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22.5" customHeight="1" x14ac:dyDescent="0.25">
      <c r="A5" s="24"/>
      <c r="B5" s="5" t="s">
        <v>13</v>
      </c>
      <c r="C5" s="3">
        <v>87059362.000000015</v>
      </c>
      <c r="D5" s="3">
        <v>79710094.999999985</v>
      </c>
      <c r="E5" s="3">
        <v>87704888.000000015</v>
      </c>
      <c r="F5" s="3">
        <v>75924497</v>
      </c>
      <c r="G5" s="3">
        <v>74444268.999999985</v>
      </c>
      <c r="H5" s="3">
        <v>74357660.999999985</v>
      </c>
      <c r="I5" s="3">
        <v>78151439</v>
      </c>
      <c r="J5" s="3">
        <v>78326831</v>
      </c>
      <c r="K5" s="3">
        <v>73239976</v>
      </c>
      <c r="L5" s="3">
        <f>80164825+4527504</f>
        <v>84692329</v>
      </c>
      <c r="M5" s="3">
        <f>82023129+4974087</f>
        <v>86997216</v>
      </c>
      <c r="N5" s="3">
        <v>88682633</v>
      </c>
    </row>
    <row r="6" spans="1:14" ht="22.5" customHeight="1" x14ac:dyDescent="0.25">
      <c r="A6" s="24"/>
      <c r="B6" s="5" t="s">
        <v>14</v>
      </c>
      <c r="C6" s="3">
        <v>3035544.0000000005</v>
      </c>
      <c r="D6" s="3">
        <v>2681341</v>
      </c>
      <c r="E6" s="3">
        <v>2610281</v>
      </c>
      <c r="F6" s="3">
        <v>2670758.0000000005</v>
      </c>
      <c r="G6" s="3">
        <v>2526977</v>
      </c>
      <c r="H6" s="3">
        <v>2206983</v>
      </c>
      <c r="I6" s="3">
        <v>2478895</v>
      </c>
      <c r="J6" s="3">
        <v>2421997</v>
      </c>
      <c r="K6" s="3">
        <v>2198448</v>
      </c>
      <c r="L6" s="3">
        <v>2588886</v>
      </c>
      <c r="M6" s="3">
        <v>2403067.9999999995</v>
      </c>
      <c r="N6" s="3">
        <v>2176256</v>
      </c>
    </row>
    <row r="7" spans="1:14" ht="22.5" customHeight="1" x14ac:dyDescent="0.25">
      <c r="A7" s="24"/>
      <c r="B7" s="5" t="s">
        <v>15</v>
      </c>
      <c r="C7" s="3">
        <v>1810573.9999999998</v>
      </c>
      <c r="D7" s="3">
        <v>1618170.9999999998</v>
      </c>
      <c r="E7" s="3">
        <v>1361572</v>
      </c>
      <c r="F7" s="3">
        <v>1228347</v>
      </c>
      <c r="G7" s="3">
        <v>773389</v>
      </c>
      <c r="H7" s="3">
        <v>613961</v>
      </c>
      <c r="I7" s="3">
        <v>651246.00000000012</v>
      </c>
      <c r="J7" s="3">
        <v>657344</v>
      </c>
      <c r="K7" s="3">
        <v>765947</v>
      </c>
      <c r="L7" s="3">
        <v>1168171</v>
      </c>
      <c r="M7" s="3">
        <v>1283924.0000000002</v>
      </c>
      <c r="N7" s="3">
        <v>1404477</v>
      </c>
    </row>
    <row r="8" spans="1:14" ht="22.5" customHeight="1" x14ac:dyDescent="0.25">
      <c r="A8" s="24"/>
      <c r="B8" s="5" t="s">
        <v>16</v>
      </c>
      <c r="C8" s="3">
        <v>54467</v>
      </c>
      <c r="D8" s="3">
        <v>50766</v>
      </c>
      <c r="E8" s="3">
        <v>48812.999999999993</v>
      </c>
      <c r="F8" s="3">
        <v>35814.000000000007</v>
      </c>
      <c r="G8" s="3">
        <v>22950</v>
      </c>
      <c r="H8" s="3">
        <v>14550</v>
      </c>
      <c r="I8" s="3">
        <v>13571</v>
      </c>
      <c r="J8" s="3">
        <v>14446</v>
      </c>
      <c r="K8" s="3">
        <v>18147</v>
      </c>
      <c r="L8" s="3">
        <v>37958</v>
      </c>
      <c r="M8" s="3">
        <v>51712</v>
      </c>
      <c r="N8" s="3">
        <v>54654</v>
      </c>
    </row>
    <row r="9" spans="1:14" ht="22.5" customHeight="1" x14ac:dyDescent="0.25">
      <c r="A9" s="24"/>
      <c r="B9" s="26" t="s">
        <v>19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22.5" customHeight="1" x14ac:dyDescent="0.25">
      <c r="A10" s="25"/>
      <c r="B10" s="4"/>
      <c r="C10" s="3">
        <v>13703</v>
      </c>
      <c r="D10" s="3">
        <v>11521</v>
      </c>
      <c r="E10" s="3">
        <v>9722</v>
      </c>
      <c r="F10" s="3">
        <v>10136</v>
      </c>
      <c r="G10" s="3">
        <v>8395</v>
      </c>
      <c r="H10" s="3">
        <v>6006</v>
      </c>
      <c r="I10" s="3">
        <v>6273</v>
      </c>
      <c r="J10" s="3">
        <v>6144</v>
      </c>
      <c r="K10" s="3">
        <v>7780</v>
      </c>
      <c r="L10" s="3">
        <v>9137</v>
      </c>
      <c r="M10" s="3">
        <f>5073+7119</f>
        <v>12192</v>
      </c>
      <c r="N10" s="3">
        <v>12178</v>
      </c>
    </row>
    <row r="11" spans="1:14" ht="22.5" customHeight="1" x14ac:dyDescent="0.25">
      <c r="A11" s="29" t="s">
        <v>17</v>
      </c>
      <c r="B11" s="30"/>
      <c r="C11" s="9">
        <f>SUM(C5:C8,C10)</f>
        <v>91973650.000000015</v>
      </c>
      <c r="D11" s="9">
        <f t="shared" ref="D11:N11" si="0">SUM(D5:D8,D10)</f>
        <v>84071893.999999985</v>
      </c>
      <c r="E11" s="9">
        <f t="shared" si="0"/>
        <v>91735276.000000015</v>
      </c>
      <c r="F11" s="9">
        <f t="shared" si="0"/>
        <v>79869552</v>
      </c>
      <c r="G11" s="9">
        <f>SUM(G5:G8,G10)</f>
        <v>77775979.999999985</v>
      </c>
      <c r="H11" s="9">
        <f t="shared" si="0"/>
        <v>77199160.999999985</v>
      </c>
      <c r="I11" s="9">
        <f t="shared" si="0"/>
        <v>81301424</v>
      </c>
      <c r="J11" s="9">
        <f t="shared" si="0"/>
        <v>81426762</v>
      </c>
      <c r="K11" s="9">
        <f t="shared" si="0"/>
        <v>76230298</v>
      </c>
      <c r="L11" s="9">
        <f t="shared" si="0"/>
        <v>88496481</v>
      </c>
      <c r="M11" s="9">
        <f t="shared" si="0"/>
        <v>90748112</v>
      </c>
      <c r="N11" s="9">
        <f t="shared" si="0"/>
        <v>92330198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85" zoomScaleNormal="85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" customFormat="1" ht="33" customHeight="1" x14ac:dyDescent="0.25">
      <c r="A3" s="6" t="s">
        <v>21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23" t="s">
        <v>26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22.5" customHeight="1" x14ac:dyDescent="0.25">
      <c r="A5" s="24"/>
      <c r="B5" s="5" t="s">
        <v>13</v>
      </c>
      <c r="C5" s="3">
        <v>82602099</v>
      </c>
      <c r="D5" s="3">
        <v>74641482</v>
      </c>
      <c r="E5" s="3">
        <v>78291227</v>
      </c>
      <c r="F5" s="3">
        <v>71221185</v>
      </c>
      <c r="G5" s="3">
        <v>72327888</v>
      </c>
      <c r="H5" s="3">
        <v>67537562</v>
      </c>
      <c r="I5" s="3">
        <v>73541946</v>
      </c>
      <c r="J5" s="3">
        <v>73223633</v>
      </c>
      <c r="K5" s="3">
        <v>72849536</v>
      </c>
      <c r="L5" s="3">
        <v>78145872</v>
      </c>
      <c r="M5" s="3">
        <v>80790265</v>
      </c>
      <c r="N5" s="3">
        <v>90072176</v>
      </c>
    </row>
    <row r="6" spans="1:14" ht="22.5" customHeight="1" x14ac:dyDescent="0.25">
      <c r="A6" s="24"/>
      <c r="B6" s="5" t="s">
        <v>14</v>
      </c>
      <c r="C6" s="3">
        <v>3456433</v>
      </c>
      <c r="D6" s="3">
        <v>3207971</v>
      </c>
      <c r="E6" s="3">
        <v>3331111</v>
      </c>
      <c r="F6" s="3">
        <v>3142212</v>
      </c>
      <c r="G6" s="3">
        <v>3401450</v>
      </c>
      <c r="H6" s="3">
        <v>3907221</v>
      </c>
      <c r="I6" s="3">
        <v>4135008</v>
      </c>
      <c r="J6" s="3">
        <v>4296253</v>
      </c>
      <c r="K6" s="3">
        <v>3516017</v>
      </c>
      <c r="L6" s="3">
        <v>3588303</v>
      </c>
      <c r="M6" s="3">
        <v>3771066</v>
      </c>
      <c r="N6" s="3">
        <v>4025337</v>
      </c>
    </row>
    <row r="7" spans="1:14" ht="22.5" customHeight="1" x14ac:dyDescent="0.25">
      <c r="A7" s="24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4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4"/>
      <c r="B9" s="26" t="s">
        <v>19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22.5" customHeight="1" x14ac:dyDescent="0.25">
      <c r="A10" s="25"/>
      <c r="B10" s="4"/>
      <c r="C10" s="3">
        <v>9548</v>
      </c>
      <c r="D10" s="3">
        <v>7878</v>
      </c>
      <c r="E10" s="3">
        <v>7753</v>
      </c>
      <c r="F10" s="3">
        <v>6518</v>
      </c>
      <c r="G10" s="3">
        <v>7878</v>
      </c>
      <c r="H10" s="3">
        <v>4576</v>
      </c>
      <c r="I10" s="3">
        <v>4558</v>
      </c>
      <c r="J10" s="3">
        <v>4849</v>
      </c>
      <c r="K10" s="3">
        <v>7236</v>
      </c>
      <c r="L10" s="3">
        <v>8426</v>
      </c>
      <c r="M10" s="3">
        <v>9132</v>
      </c>
      <c r="N10" s="3">
        <v>10923</v>
      </c>
    </row>
    <row r="11" spans="1:14" ht="22.5" customHeight="1" x14ac:dyDescent="0.25">
      <c r="A11" s="29" t="s">
        <v>17</v>
      </c>
      <c r="B11" s="30"/>
      <c r="C11" s="9">
        <f>SUM(C5:C8,C10)</f>
        <v>86068080</v>
      </c>
      <c r="D11" s="9">
        <f t="shared" ref="D11:N11" si="0">SUM(D5:D8,D10)</f>
        <v>77857331</v>
      </c>
      <c r="E11" s="9">
        <f t="shared" si="0"/>
        <v>81630091</v>
      </c>
      <c r="F11" s="9">
        <f t="shared" si="0"/>
        <v>74369915</v>
      </c>
      <c r="G11" s="9">
        <f>SUM(G5:G8,G10)</f>
        <v>75737216</v>
      </c>
      <c r="H11" s="9">
        <f t="shared" si="0"/>
        <v>71449359</v>
      </c>
      <c r="I11" s="9">
        <f t="shared" si="0"/>
        <v>77681512</v>
      </c>
      <c r="J11" s="9">
        <f t="shared" si="0"/>
        <v>77524735</v>
      </c>
      <c r="K11" s="9">
        <f t="shared" si="0"/>
        <v>76372789</v>
      </c>
      <c r="L11" s="9">
        <f t="shared" si="0"/>
        <v>81742601</v>
      </c>
      <c r="M11" s="9">
        <f t="shared" si="0"/>
        <v>84570463</v>
      </c>
      <c r="N11" s="9">
        <f t="shared" si="0"/>
        <v>94108436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70" zoomScaleNormal="70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" customFormat="1" ht="33" customHeight="1" x14ac:dyDescent="0.25">
      <c r="A3" s="6" t="s">
        <v>21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23" t="s">
        <v>26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22.5" customHeight="1" x14ac:dyDescent="0.25">
      <c r="A5" s="24"/>
      <c r="B5" s="5" t="s">
        <v>13</v>
      </c>
      <c r="C5" s="3">
        <f>87061467+1208156</f>
        <v>88269623</v>
      </c>
      <c r="D5" s="3">
        <f>81618211+1084946</f>
        <v>82703157</v>
      </c>
      <c r="E5" s="3">
        <f>86934093+945436</f>
        <v>87879529</v>
      </c>
      <c r="F5" s="3">
        <f>80976623+686012</f>
        <v>81662635</v>
      </c>
      <c r="G5" s="3">
        <f>81028320+402706</f>
        <v>81431026</v>
      </c>
      <c r="H5" s="3">
        <f>78363471+384066</f>
        <v>78747537</v>
      </c>
      <c r="I5" s="3">
        <f>81637793+386654</f>
        <v>82024447</v>
      </c>
      <c r="J5" s="3">
        <f>82490424+247779</f>
        <v>82738203</v>
      </c>
      <c r="K5" s="3">
        <f>79233275+419125</f>
        <v>79652400</v>
      </c>
      <c r="L5" s="3">
        <f>90002364+840385</f>
        <v>90842749</v>
      </c>
      <c r="M5" s="3">
        <f>91948795+897764</f>
        <v>92846559</v>
      </c>
      <c r="N5" s="3">
        <f>97755674+1104882</f>
        <v>98860556</v>
      </c>
    </row>
    <row r="6" spans="1:14" ht="22.5" customHeight="1" x14ac:dyDescent="0.25">
      <c r="A6" s="24"/>
      <c r="B6" s="5" t="s">
        <v>14</v>
      </c>
      <c r="C6" s="3">
        <f>4290782+185811</f>
        <v>4476593</v>
      </c>
      <c r="D6" s="3">
        <f>4084517+160025</f>
        <v>4244542</v>
      </c>
      <c r="E6" s="3">
        <f>4431970+148223</f>
        <v>4580193</v>
      </c>
      <c r="F6" s="3">
        <f>4138602+106370</f>
        <v>4244972</v>
      </c>
      <c r="G6" s="3">
        <f>4015061+65041</f>
        <v>4080102</v>
      </c>
      <c r="H6" s="3">
        <f>3829097+43522</f>
        <v>3872619</v>
      </c>
      <c r="I6" s="3">
        <f>4295411+37572</f>
        <v>4332983</v>
      </c>
      <c r="J6" s="3">
        <f>3362660+36793</f>
        <v>3399453</v>
      </c>
      <c r="K6" s="3">
        <f>3648813+39578</f>
        <v>3688391</v>
      </c>
      <c r="L6" s="3">
        <f>4510129+115388</f>
        <v>4625517</v>
      </c>
      <c r="M6" s="3">
        <f>4585577+137274</f>
        <v>4722851</v>
      </c>
      <c r="N6" s="3">
        <f>4858746+166903</f>
        <v>5025649</v>
      </c>
    </row>
    <row r="7" spans="1:14" ht="22.5" customHeight="1" x14ac:dyDescent="0.25">
      <c r="A7" s="24"/>
      <c r="B7" s="5" t="s">
        <v>15</v>
      </c>
      <c r="C7" s="3">
        <v>1688685</v>
      </c>
      <c r="D7" s="3">
        <v>1637753</v>
      </c>
      <c r="E7" s="3">
        <v>1280845</v>
      </c>
      <c r="F7" s="3">
        <v>958076</v>
      </c>
      <c r="G7" s="3">
        <v>831801</v>
      </c>
      <c r="H7" s="3">
        <v>567906</v>
      </c>
      <c r="I7" s="3">
        <v>519048</v>
      </c>
      <c r="J7" s="3">
        <v>581844</v>
      </c>
      <c r="K7" s="3">
        <v>680884</v>
      </c>
      <c r="L7" s="3">
        <v>966711</v>
      </c>
      <c r="M7" s="3">
        <v>1238420</v>
      </c>
      <c r="N7" s="3">
        <v>1543437</v>
      </c>
    </row>
    <row r="8" spans="1:14" ht="22.5" customHeight="1" x14ac:dyDescent="0.25">
      <c r="A8" s="24"/>
      <c r="B8" s="5" t="s">
        <v>16</v>
      </c>
      <c r="C8" s="3">
        <v>34861</v>
      </c>
      <c r="D8" s="3">
        <v>33416</v>
      </c>
      <c r="E8" s="3">
        <v>51183</v>
      </c>
      <c r="F8" s="3">
        <v>31708</v>
      </c>
      <c r="G8" s="3">
        <v>22337</v>
      </c>
      <c r="H8" s="3">
        <v>21209</v>
      </c>
      <c r="I8" s="3">
        <v>20747</v>
      </c>
      <c r="J8" s="3">
        <v>24835</v>
      </c>
      <c r="K8" s="3">
        <v>23003</v>
      </c>
      <c r="L8" s="3">
        <v>34266</v>
      </c>
      <c r="M8" s="3">
        <v>35009</v>
      </c>
      <c r="N8" s="3">
        <v>39624</v>
      </c>
    </row>
    <row r="9" spans="1:14" ht="22.5" customHeight="1" x14ac:dyDescent="0.25">
      <c r="A9" s="24"/>
      <c r="B9" s="26" t="s">
        <v>19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22.5" customHeight="1" x14ac:dyDescent="0.25">
      <c r="A10" s="25"/>
      <c r="B10" s="4"/>
      <c r="C10" s="3">
        <f>10840+1871</f>
        <v>12711</v>
      </c>
      <c r="D10" s="3">
        <f>9898+2000</f>
        <v>11898</v>
      </c>
      <c r="E10" s="3">
        <f>8461+1621</f>
        <v>10082</v>
      </c>
      <c r="F10" s="3">
        <f>7305+1612</f>
        <v>8917</v>
      </c>
      <c r="G10" s="3">
        <v>8881</v>
      </c>
      <c r="H10" s="3">
        <f>5785+2765</f>
        <v>8550</v>
      </c>
      <c r="I10" s="3">
        <f>4821+1485</f>
        <v>6306</v>
      </c>
      <c r="J10" s="3">
        <f>4638+1390</f>
        <v>6028</v>
      </c>
      <c r="K10" s="3">
        <f>7432+1598</f>
        <v>9030</v>
      </c>
      <c r="L10" s="3">
        <f>8056+1859</f>
        <v>9915</v>
      </c>
      <c r="M10" s="3">
        <f>8329+1819</f>
        <v>10148</v>
      </c>
      <c r="N10" s="3">
        <f>9561+2009</f>
        <v>11570</v>
      </c>
    </row>
    <row r="11" spans="1:14" ht="22.5" customHeight="1" x14ac:dyDescent="0.25">
      <c r="A11" s="29" t="s">
        <v>17</v>
      </c>
      <c r="B11" s="30"/>
      <c r="C11" s="9">
        <f>SUM(C5:C8,C10)</f>
        <v>94482473</v>
      </c>
      <c r="D11" s="9">
        <f t="shared" ref="D11:N11" si="0">SUM(D5:D8,D10)</f>
        <v>88630766</v>
      </c>
      <c r="E11" s="9">
        <f t="shared" si="0"/>
        <v>93801832</v>
      </c>
      <c r="F11" s="9">
        <f t="shared" si="0"/>
        <v>86906308</v>
      </c>
      <c r="G11" s="9">
        <f>SUM(G5:G8,G10)</f>
        <v>86374147</v>
      </c>
      <c r="H11" s="9">
        <f t="shared" si="0"/>
        <v>83217821</v>
      </c>
      <c r="I11" s="9">
        <f t="shared" ref="I11:J11" si="1">SUM(I5:I8,I10)</f>
        <v>86903531</v>
      </c>
      <c r="J11" s="9">
        <f t="shared" si="1"/>
        <v>86750363</v>
      </c>
      <c r="K11" s="9">
        <f t="shared" si="0"/>
        <v>84053708</v>
      </c>
      <c r="L11" s="9">
        <f t="shared" si="0"/>
        <v>96479158</v>
      </c>
      <c r="M11" s="9">
        <f t="shared" si="0"/>
        <v>98852987</v>
      </c>
      <c r="N11" s="9">
        <f t="shared" si="0"/>
        <v>105480836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opLeftCell="C1" zoomScale="98" zoomScaleNormal="98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" customFormat="1" ht="33" customHeight="1" x14ac:dyDescent="0.25">
      <c r="A3" s="6" t="s">
        <v>21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23" t="s">
        <v>26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22.5" customHeight="1" x14ac:dyDescent="0.25">
      <c r="A5" s="24"/>
      <c r="B5" s="5" t="s">
        <v>13</v>
      </c>
      <c r="C5" s="3">
        <f>89299735+1101952</f>
        <v>90401687</v>
      </c>
      <c r="D5" s="3">
        <f>85007334+98986+332808+615275</f>
        <v>86054403</v>
      </c>
      <c r="E5" s="3">
        <f>93550381+1096285</f>
        <v>94646666</v>
      </c>
      <c r="F5" s="3">
        <f>86620474+642631</f>
        <v>87263105</v>
      </c>
      <c r="G5" s="3">
        <f>83361901+394788</f>
        <v>83756689</v>
      </c>
      <c r="H5" s="3">
        <f>79684516+437465</f>
        <v>80121981</v>
      </c>
      <c r="I5" s="3">
        <f>83590185+453481</f>
        <v>84043666</v>
      </c>
      <c r="J5" s="3">
        <f>79955899+483420</f>
        <v>80439319</v>
      </c>
      <c r="K5" s="3">
        <f>77054047+526567</f>
        <v>77580614</v>
      </c>
      <c r="L5" s="3">
        <f>88866120+837711</f>
        <v>89703831</v>
      </c>
      <c r="M5" s="3">
        <f>90787138+1100433</f>
        <v>91887571</v>
      </c>
      <c r="N5" s="3">
        <f>95270825+1320987</f>
        <v>96591812</v>
      </c>
    </row>
    <row r="6" spans="1:14" ht="22.5" customHeight="1" x14ac:dyDescent="0.25">
      <c r="A6" s="24"/>
      <c r="B6" s="5" t="s">
        <v>14</v>
      </c>
      <c r="C6" s="3">
        <f>4566247+169883</f>
        <v>4736130</v>
      </c>
      <c r="D6" s="3">
        <f>4212596+9777</f>
        <v>4222373</v>
      </c>
      <c r="E6" s="3">
        <f>4418847+158954</f>
        <v>4577801</v>
      </c>
      <c r="F6" s="3">
        <f>3837951+110530</f>
        <v>3948481</v>
      </c>
      <c r="G6" s="3">
        <f>3684726+62384</f>
        <v>3747110</v>
      </c>
      <c r="H6" s="3">
        <f>3767566+33713</f>
        <v>3801279</v>
      </c>
      <c r="I6" s="3">
        <f>3981396+29992</f>
        <v>4011388</v>
      </c>
      <c r="J6" s="3">
        <f>4332083+87310</f>
        <v>4419393</v>
      </c>
      <c r="K6" s="3">
        <f>4056111+137929</f>
        <v>4194040</v>
      </c>
      <c r="L6" s="3">
        <f>4272992+291454</f>
        <v>4564446</v>
      </c>
      <c r="M6" s="3">
        <f>4661913+264061+124982</f>
        <v>5050956</v>
      </c>
      <c r="N6" s="3">
        <f>5215554+495516</f>
        <v>5711070</v>
      </c>
    </row>
    <row r="7" spans="1:14" ht="22.5" customHeight="1" x14ac:dyDescent="0.25">
      <c r="A7" s="24"/>
      <c r="B7" s="5" t="s">
        <v>15</v>
      </c>
      <c r="C7" s="3">
        <v>1487950</v>
      </c>
      <c r="D7" s="3">
        <v>1581427</v>
      </c>
      <c r="E7" s="3">
        <v>1385839</v>
      </c>
      <c r="F7" s="3">
        <v>1032680</v>
      </c>
      <c r="G7" s="3">
        <v>664611</v>
      </c>
      <c r="H7" s="3">
        <v>584137</v>
      </c>
      <c r="I7" s="3">
        <v>509355</v>
      </c>
      <c r="J7" s="3">
        <v>446452</v>
      </c>
      <c r="K7" s="3">
        <v>485404</v>
      </c>
      <c r="L7" s="3">
        <v>822144</v>
      </c>
      <c r="M7" s="3">
        <v>1050193</v>
      </c>
      <c r="N7" s="3">
        <v>1181241</v>
      </c>
    </row>
    <row r="8" spans="1:14" ht="22.5" customHeight="1" x14ac:dyDescent="0.25">
      <c r="A8" s="24"/>
      <c r="B8" s="5" t="s">
        <v>16</v>
      </c>
      <c r="C8" s="3">
        <v>31640</v>
      </c>
      <c r="D8" s="3">
        <v>191411</v>
      </c>
      <c r="E8" s="3">
        <v>117662</v>
      </c>
      <c r="F8" s="3">
        <v>17454</v>
      </c>
      <c r="G8" s="3">
        <v>30372</v>
      </c>
      <c r="H8" s="3">
        <v>21497</v>
      </c>
      <c r="I8" s="3">
        <v>20650</v>
      </c>
      <c r="J8" s="3">
        <v>20433</v>
      </c>
      <c r="K8" s="3">
        <v>24018</v>
      </c>
      <c r="L8" s="3">
        <v>31717</v>
      </c>
      <c r="M8" s="3">
        <v>34103</v>
      </c>
      <c r="N8" s="3">
        <v>44166</v>
      </c>
    </row>
    <row r="9" spans="1:14" ht="22.5" customHeight="1" x14ac:dyDescent="0.25">
      <c r="A9" s="24"/>
      <c r="B9" s="26" t="s">
        <v>19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22.5" customHeight="1" x14ac:dyDescent="0.25">
      <c r="A10" s="25"/>
      <c r="B10" s="4"/>
      <c r="C10" s="3">
        <f>9582+1968</f>
        <v>11550</v>
      </c>
      <c r="D10" s="3">
        <f>8165+2078</f>
        <v>10243</v>
      </c>
      <c r="E10" s="3">
        <f>8379+2352</f>
        <v>10731</v>
      </c>
      <c r="F10" s="3">
        <f>7105+4733</f>
        <v>11838</v>
      </c>
      <c r="G10" s="3">
        <f>6871+1492</f>
        <v>8363</v>
      </c>
      <c r="H10" s="3">
        <f>5873+2489</f>
        <v>8362</v>
      </c>
      <c r="I10" s="3">
        <f>3968+642</f>
        <v>4610</v>
      </c>
      <c r="J10" s="3">
        <f>4494+886</f>
        <v>5380</v>
      </c>
      <c r="K10" s="3">
        <f>5458+1308</f>
        <v>6766</v>
      </c>
      <c r="L10" s="3">
        <f>7755+1816</f>
        <v>9571</v>
      </c>
      <c r="M10" s="3">
        <f>8033+1282</f>
        <v>9315</v>
      </c>
      <c r="N10" s="3">
        <f>9005+2201</f>
        <v>11206</v>
      </c>
    </row>
    <row r="11" spans="1:14" ht="22.5" customHeight="1" x14ac:dyDescent="0.25">
      <c r="A11" s="29" t="s">
        <v>17</v>
      </c>
      <c r="B11" s="30"/>
      <c r="C11" s="9">
        <f>SUM(C5:C8,C10)</f>
        <v>96668957</v>
      </c>
      <c r="D11" s="9">
        <f>SUM(D5:D8,D10)</f>
        <v>92059857</v>
      </c>
      <c r="E11" s="9">
        <f>SUM(E5:E8,E10)</f>
        <v>100738699</v>
      </c>
      <c r="F11" s="9">
        <f>SUM(F5:F8,F10)</f>
        <v>92273558</v>
      </c>
      <c r="G11" s="9">
        <f>SUM(G5:G8,G10)</f>
        <v>88207145</v>
      </c>
      <c r="H11" s="9">
        <f t="shared" ref="H11:N11" si="0">SUM(H5:H8,H10)</f>
        <v>84537256</v>
      </c>
      <c r="I11" s="9">
        <f t="shared" si="0"/>
        <v>88589669</v>
      </c>
      <c r="J11" s="9">
        <f t="shared" si="0"/>
        <v>85330977</v>
      </c>
      <c r="K11" s="9">
        <f t="shared" si="0"/>
        <v>82290842</v>
      </c>
      <c r="L11" s="9">
        <f t="shared" si="0"/>
        <v>95131709</v>
      </c>
      <c r="M11" s="9">
        <f t="shared" si="0"/>
        <v>98032138</v>
      </c>
      <c r="N11" s="9">
        <f t="shared" si="0"/>
        <v>103539495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zoomScale="70" zoomScaleNormal="70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9.140625" style="14"/>
    <col min="16" max="16" width="9.140625" style="1"/>
    <col min="17" max="17" width="11.5703125" style="14" bestFit="1" customWidth="1"/>
    <col min="18" max="16384" width="9.140625" style="1"/>
  </cols>
  <sheetData>
    <row r="2" spans="1:17" ht="42.75" customHeight="1" x14ac:dyDescent="0.25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7" s="2" customFormat="1" ht="33" customHeight="1" x14ac:dyDescent="0.25">
      <c r="A3" s="6" t="s">
        <v>21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15"/>
      <c r="Q3" s="15"/>
    </row>
    <row r="4" spans="1:17" ht="22.5" customHeight="1" x14ac:dyDescent="0.25">
      <c r="A4" s="23" t="s">
        <v>26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7" ht="22.5" customHeight="1" x14ac:dyDescent="0.25">
      <c r="A5" s="24"/>
      <c r="B5" s="11" t="s">
        <v>30</v>
      </c>
      <c r="C5" s="3"/>
      <c r="D5" s="3"/>
      <c r="E5" s="3"/>
      <c r="F5" s="3"/>
      <c r="G5" s="3"/>
      <c r="H5" s="3"/>
      <c r="I5" s="3">
        <v>3138</v>
      </c>
      <c r="J5" s="3">
        <v>3561</v>
      </c>
      <c r="K5" s="3">
        <v>2907</v>
      </c>
      <c r="L5" s="3">
        <v>2986</v>
      </c>
      <c r="M5" s="3">
        <v>3350</v>
      </c>
      <c r="N5" s="3">
        <v>4205</v>
      </c>
      <c r="O5" s="14">
        <f>N5/M5</f>
        <v>1.2552238805970148</v>
      </c>
      <c r="Q5" s="13">
        <f>AVERAGE(C5:O5)</f>
        <v>2878.3221748400856</v>
      </c>
    </row>
    <row r="6" spans="1:17" ht="22.5" customHeight="1" x14ac:dyDescent="0.25">
      <c r="A6" s="24"/>
      <c r="B6" s="5" t="s">
        <v>13</v>
      </c>
      <c r="C6" s="3">
        <f>86195511+1383182</f>
        <v>87578693</v>
      </c>
      <c r="D6" s="3">
        <f>79668007+1153598</f>
        <v>80821605</v>
      </c>
      <c r="E6" s="3">
        <f>91037820+1017045</f>
        <v>92054865</v>
      </c>
      <c r="F6" s="3">
        <f>84513608+736340</f>
        <v>85249948</v>
      </c>
      <c r="G6" s="3">
        <f>80129047+472262</f>
        <v>80601309</v>
      </c>
      <c r="H6" s="3">
        <f>74392270+410473</f>
        <v>74802743</v>
      </c>
      <c r="I6" s="3">
        <f>76170995+509705</f>
        <v>76680700</v>
      </c>
      <c r="J6" s="3">
        <f>78967462+456645</f>
        <v>79424107</v>
      </c>
      <c r="K6" s="3">
        <f>76613339+577768</f>
        <v>77191107</v>
      </c>
      <c r="L6" s="3">
        <f>80222061+847322</f>
        <v>81069383</v>
      </c>
      <c r="M6" s="3">
        <f>87419529+1084620</f>
        <v>88504149</v>
      </c>
      <c r="N6" s="3">
        <f>86265655+1389001</f>
        <v>87654656</v>
      </c>
      <c r="O6" s="14">
        <f t="shared" ref="O6:O9" si="0">N6/M6</f>
        <v>0.99040165902278776</v>
      </c>
      <c r="Q6" s="13">
        <f t="shared" ref="Q6:Q11" si="1">AVERAGE(C6:N6)</f>
        <v>82636105.416666672</v>
      </c>
    </row>
    <row r="7" spans="1:17" ht="22.5" customHeight="1" x14ac:dyDescent="0.25">
      <c r="A7" s="24"/>
      <c r="B7" s="5" t="s">
        <v>14</v>
      </c>
      <c r="C7" s="3">
        <f>4900174+598264</f>
        <v>5498438</v>
      </c>
      <c r="D7" s="3">
        <f>4485387+416104</f>
        <v>4901491</v>
      </c>
      <c r="E7" s="3">
        <f>4892940+379630</f>
        <v>5272570</v>
      </c>
      <c r="F7" s="3">
        <f>3985793+248637</f>
        <v>4234430</v>
      </c>
      <c r="G7" s="3">
        <f>3798481+126641</f>
        <v>3925122</v>
      </c>
      <c r="H7" s="3">
        <f>3532997+93378</f>
        <v>3626375</v>
      </c>
      <c r="I7" s="3">
        <f>3757903+94548</f>
        <v>3852451</v>
      </c>
      <c r="J7" s="3">
        <f>3856282+146054</f>
        <v>4002336</v>
      </c>
      <c r="K7" s="3">
        <f>3539140+193681</f>
        <v>3732821</v>
      </c>
      <c r="L7" s="3">
        <f>4022385+275271</f>
        <v>4297656</v>
      </c>
      <c r="M7" s="3">
        <f>3719162+386077</f>
        <v>4105239</v>
      </c>
      <c r="N7" s="3">
        <f>3592881+471555</f>
        <v>4064436</v>
      </c>
      <c r="O7" s="14">
        <f t="shared" si="0"/>
        <v>0.99006074920363951</v>
      </c>
      <c r="Q7" s="13">
        <f t="shared" si="1"/>
        <v>4292780.416666667</v>
      </c>
    </row>
    <row r="8" spans="1:17" ht="22.5" customHeight="1" x14ac:dyDescent="0.25">
      <c r="A8" s="24"/>
      <c r="B8" s="5" t="s">
        <v>15</v>
      </c>
      <c r="C8" s="3">
        <v>1289632</v>
      </c>
      <c r="D8" s="3">
        <v>1262821</v>
      </c>
      <c r="E8" s="3">
        <v>1089180</v>
      </c>
      <c r="F8" s="3">
        <v>768797</v>
      </c>
      <c r="G8" s="3">
        <v>595318</v>
      </c>
      <c r="H8" s="3">
        <v>441927</v>
      </c>
      <c r="I8" s="3">
        <v>387585</v>
      </c>
      <c r="J8" s="3">
        <v>448571</v>
      </c>
      <c r="K8" s="3">
        <v>529848</v>
      </c>
      <c r="L8" s="3">
        <v>674322</v>
      </c>
      <c r="M8" s="3">
        <v>944017</v>
      </c>
      <c r="N8" s="3">
        <v>1109149</v>
      </c>
      <c r="O8" s="14">
        <f t="shared" si="0"/>
        <v>1.1749248159725938</v>
      </c>
      <c r="Q8" s="13">
        <f t="shared" si="1"/>
        <v>795097.25</v>
      </c>
    </row>
    <row r="9" spans="1:17" ht="22.5" customHeight="1" x14ac:dyDescent="0.25">
      <c r="A9" s="24"/>
      <c r="B9" s="5" t="s">
        <v>16</v>
      </c>
      <c r="C9" s="3">
        <f>1312+44284</f>
        <v>45596</v>
      </c>
      <c r="D9" s="3">
        <v>42424</v>
      </c>
      <c r="E9" s="3">
        <v>37238</v>
      </c>
      <c r="F9" s="3">
        <v>40704</v>
      </c>
      <c r="G9" s="3">
        <v>26738</v>
      </c>
      <c r="H9" s="3">
        <v>19905</v>
      </c>
      <c r="I9" s="3">
        <v>22000</v>
      </c>
      <c r="J9" s="3">
        <v>18729</v>
      </c>
      <c r="K9" s="3">
        <v>33275</v>
      </c>
      <c r="L9" s="3">
        <v>34960</v>
      </c>
      <c r="M9" s="3">
        <v>41723</v>
      </c>
      <c r="N9" s="3">
        <v>44164</v>
      </c>
      <c r="O9" s="14">
        <f t="shared" si="0"/>
        <v>1.0585049013733432</v>
      </c>
      <c r="Q9" s="13">
        <f t="shared" si="1"/>
        <v>33954.666666666664</v>
      </c>
    </row>
    <row r="10" spans="1:17" ht="22.5" customHeight="1" x14ac:dyDescent="0.25">
      <c r="A10" s="24"/>
      <c r="B10" s="26" t="s">
        <v>19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Q10" s="13"/>
    </row>
    <row r="11" spans="1:17" ht="22.5" customHeight="1" x14ac:dyDescent="0.25">
      <c r="A11" s="25"/>
      <c r="B11" s="4"/>
      <c r="C11" s="3">
        <v>2101</v>
      </c>
      <c r="D11" s="3">
        <v>4446</v>
      </c>
      <c r="E11" s="3">
        <f>1183+2979</f>
        <v>4162</v>
      </c>
      <c r="F11" s="3">
        <f>1285+2047</f>
        <v>3332</v>
      </c>
      <c r="G11" s="3">
        <f>1457+1741</f>
        <v>3198</v>
      </c>
      <c r="H11" s="3">
        <f>1220+1673</f>
        <v>2893</v>
      </c>
      <c r="I11" s="3">
        <f>1079+1237</f>
        <v>2316</v>
      </c>
      <c r="J11" s="3">
        <f>1220+3764</f>
        <v>4984</v>
      </c>
      <c r="K11" s="3">
        <f>2400+795</f>
        <v>3195</v>
      </c>
      <c r="L11" s="3">
        <f>2096+1112</f>
        <v>3208</v>
      </c>
      <c r="M11" s="3">
        <f>1971+1966</f>
        <v>3937</v>
      </c>
      <c r="N11" s="3">
        <f>2088+1786</f>
        <v>3874</v>
      </c>
      <c r="O11" s="14">
        <f>N11/M11</f>
        <v>0.98399796799593597</v>
      </c>
      <c r="Q11" s="13">
        <f t="shared" si="1"/>
        <v>3470.5</v>
      </c>
    </row>
    <row r="12" spans="1:17" ht="22.5" customHeight="1" x14ac:dyDescent="0.25">
      <c r="A12" s="29" t="s">
        <v>17</v>
      </c>
      <c r="B12" s="30"/>
      <c r="C12" s="9">
        <f>SUM(C6:C9,C11)</f>
        <v>94414460</v>
      </c>
      <c r="D12" s="9">
        <f>SUM(D6:D9,D11)</f>
        <v>87032787</v>
      </c>
      <c r="E12" s="9">
        <f>SUM(E6:E9,E11)</f>
        <v>98458015</v>
      </c>
      <c r="F12" s="9">
        <f>SUM(F6:F9,F11)</f>
        <v>90297211</v>
      </c>
      <c r="G12" s="9">
        <f>SUM(G6:G9,G11)</f>
        <v>85151685</v>
      </c>
      <c r="H12" s="9">
        <f t="shared" ref="H12" si="2">SUM(H6:H9,H11)</f>
        <v>78893843</v>
      </c>
      <c r="I12" s="9">
        <f>SUM(I5:I9,I11)</f>
        <v>80948190</v>
      </c>
      <c r="J12" s="9">
        <f t="shared" ref="J12:N12" si="3">SUM(J5:J9,J11)</f>
        <v>83902288</v>
      </c>
      <c r="K12" s="9">
        <f t="shared" si="3"/>
        <v>81493153</v>
      </c>
      <c r="L12" s="9">
        <f t="shared" si="3"/>
        <v>86082515</v>
      </c>
      <c r="M12" s="9">
        <f t="shared" si="3"/>
        <v>93602415</v>
      </c>
      <c r="N12" s="9">
        <f t="shared" si="3"/>
        <v>92880484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"/>
  <sheetViews>
    <sheetView topLeftCell="B1" zoomScale="75" zoomScaleNormal="75" workbookViewId="0">
      <selection activeCell="W11" sqref="W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5.85546875" style="1" hidden="1" customWidth="1"/>
    <col min="8" max="8" width="17.85546875" style="1" customWidth="1"/>
    <col min="9" max="9" width="17.85546875" style="1" hidden="1" customWidth="1"/>
    <col min="10" max="10" width="18.42578125" style="1" customWidth="1"/>
    <col min="11" max="11" width="18.42578125" style="1" hidden="1" customWidth="1"/>
    <col min="12" max="12" width="19.85546875" style="1" customWidth="1"/>
    <col min="13" max="13" width="19.85546875" style="1" hidden="1" customWidth="1"/>
    <col min="14" max="14" width="21" style="1" customWidth="1"/>
    <col min="15" max="15" width="21" style="1" hidden="1" customWidth="1"/>
    <col min="16" max="16" width="22.140625" style="1" customWidth="1"/>
    <col min="17" max="17" width="22.140625" style="1" hidden="1" customWidth="1"/>
    <col min="18" max="18" width="22.42578125" style="1" customWidth="1"/>
    <col min="19" max="19" width="22.42578125" style="1" hidden="1" customWidth="1"/>
    <col min="20" max="20" width="24.28515625" style="1" customWidth="1"/>
    <col min="21" max="21" width="24.28515625" style="1" hidden="1" customWidth="1"/>
    <col min="22" max="22" width="24.140625" style="1" customWidth="1"/>
    <col min="23" max="23" width="9.140625" style="14"/>
    <col min="24" max="16384" width="9.140625" style="1"/>
  </cols>
  <sheetData>
    <row r="2" spans="1:23" ht="42.75" customHeight="1" x14ac:dyDescent="0.25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3" s="2" customFormat="1" ht="33" customHeight="1" x14ac:dyDescent="0.25">
      <c r="A3" s="6" t="s">
        <v>21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/>
      <c r="H3" s="8" t="s">
        <v>5</v>
      </c>
      <c r="I3" s="8"/>
      <c r="J3" s="8" t="s">
        <v>6</v>
      </c>
      <c r="K3" s="8"/>
      <c r="L3" s="8" t="s">
        <v>7</v>
      </c>
      <c r="M3" s="8"/>
      <c r="N3" s="8" t="s">
        <v>8</v>
      </c>
      <c r="O3" s="8"/>
      <c r="P3" s="8" t="s">
        <v>9</v>
      </c>
      <c r="Q3" s="8"/>
      <c r="R3" s="8" t="s">
        <v>10</v>
      </c>
      <c r="S3" s="8"/>
      <c r="T3" s="8" t="s">
        <v>11</v>
      </c>
      <c r="U3" s="8"/>
      <c r="V3" s="8" t="s">
        <v>12</v>
      </c>
      <c r="W3" s="15"/>
    </row>
    <row r="4" spans="1:23" ht="22.5" customHeight="1" x14ac:dyDescent="0.25">
      <c r="A4" s="23" t="s">
        <v>26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8"/>
    </row>
    <row r="5" spans="1:23" ht="22.5" customHeight="1" x14ac:dyDescent="0.25">
      <c r="A5" s="24"/>
      <c r="B5" s="12" t="s">
        <v>30</v>
      </c>
      <c r="C5" s="3">
        <v>4112</v>
      </c>
      <c r="D5" s="3">
        <v>3861</v>
      </c>
      <c r="E5" s="3">
        <v>4010</v>
      </c>
      <c r="F5" s="3">
        <v>3347</v>
      </c>
      <c r="G5" s="3">
        <v>0.81634372367312558</v>
      </c>
      <c r="H5" s="3">
        <v>3007</v>
      </c>
      <c r="I5" s="3">
        <f>H5/F5</f>
        <v>0.89841649238123689</v>
      </c>
      <c r="J5" s="3">
        <v>2970</v>
      </c>
      <c r="K5" s="3">
        <v>0</v>
      </c>
      <c r="L5" s="3">
        <v>2902</v>
      </c>
      <c r="M5" s="3">
        <v>1.1347992351816443</v>
      </c>
      <c r="N5" s="3">
        <v>2946</v>
      </c>
      <c r="O5" s="3">
        <v>0.81634372367312558</v>
      </c>
      <c r="P5" s="3">
        <v>2790</v>
      </c>
      <c r="Q5" s="3">
        <v>1.0271757825937393</v>
      </c>
      <c r="R5" s="3">
        <v>3096</v>
      </c>
      <c r="S5" s="3">
        <v>1.1219022103148024</v>
      </c>
      <c r="T5" s="3">
        <v>3807</v>
      </c>
      <c r="U5" s="3">
        <v>1.2552238805970148</v>
      </c>
      <c r="V5" s="3">
        <v>4151</v>
      </c>
      <c r="W5" s="14">
        <f>'2021'!C5/'2020'!V5</f>
        <v>0.99108648518429299</v>
      </c>
    </row>
    <row r="6" spans="1:23" ht="22.5" customHeight="1" x14ac:dyDescent="0.25">
      <c r="A6" s="24"/>
      <c r="B6" s="5" t="s">
        <v>13</v>
      </c>
      <c r="C6" s="3">
        <f>78210589+1263192</f>
        <v>79473781</v>
      </c>
      <c r="D6" s="3">
        <f>74205471+1167853</f>
        <v>75373324</v>
      </c>
      <c r="E6" s="3">
        <f>80044225+1107906</f>
        <v>81152131</v>
      </c>
      <c r="F6" s="3">
        <f>73498955+809180</f>
        <v>74308135</v>
      </c>
      <c r="G6" s="3">
        <v>0.94547047700251974</v>
      </c>
      <c r="H6" s="3">
        <f>62111937+472048</f>
        <v>62583985</v>
      </c>
      <c r="I6" s="3">
        <v>0.92805866217383637</v>
      </c>
      <c r="J6" s="3">
        <f>64617848+427360</f>
        <v>65045208</v>
      </c>
      <c r="K6" s="3">
        <v>1.0251054563600697</v>
      </c>
      <c r="L6" s="3">
        <f>68361406+489506</f>
        <v>68850912</v>
      </c>
      <c r="M6" s="3">
        <v>1.0357770208148855</v>
      </c>
      <c r="N6" s="3">
        <f>71022688+445951</f>
        <v>71468639</v>
      </c>
      <c r="O6" s="3">
        <v>0.97188511039853431</v>
      </c>
      <c r="P6" s="3">
        <v>69971383</v>
      </c>
      <c r="Q6" s="3">
        <v>1.050242523403635</v>
      </c>
      <c r="R6" s="3">
        <f>74219861+824329</f>
        <v>75044190</v>
      </c>
      <c r="S6" s="3">
        <v>1.0917086787252346</v>
      </c>
      <c r="T6" s="3">
        <f>3714062+72652460+1113448</f>
        <v>77479970</v>
      </c>
      <c r="U6" s="3">
        <v>0.99040165902278776</v>
      </c>
      <c r="V6" s="3">
        <f>82719831+1381644</f>
        <v>84101475</v>
      </c>
      <c r="W6" s="14">
        <f>'2021'!C6/'2020'!V6</f>
        <v>0.92176053987162532</v>
      </c>
    </row>
    <row r="7" spans="1:23" ht="22.5" customHeight="1" x14ac:dyDescent="0.25">
      <c r="A7" s="24"/>
      <c r="B7" s="5" t="s">
        <v>14</v>
      </c>
      <c r="C7" s="3">
        <f>3282137+441205</f>
        <v>3723342</v>
      </c>
      <c r="D7" s="3">
        <f>3104560+411867</f>
        <v>3516427</v>
      </c>
      <c r="E7" s="3">
        <f>3426894+381658</f>
        <v>3808552</v>
      </c>
      <c r="F7" s="3">
        <f>3002800+226537</f>
        <v>3229337</v>
      </c>
      <c r="G7" s="3">
        <v>0.92695404103976209</v>
      </c>
      <c r="H7" s="3">
        <f>2894658+76563</f>
        <v>2971221</v>
      </c>
      <c r="I7" s="3">
        <v>0.92388848040901661</v>
      </c>
      <c r="J7" s="3">
        <f>2896308+60693</f>
        <v>2957001</v>
      </c>
      <c r="K7" s="3">
        <v>1.0623421460825204</v>
      </c>
      <c r="L7" s="3">
        <f>3414413+77226</f>
        <v>3491639</v>
      </c>
      <c r="M7" s="3">
        <v>1.0389064001073602</v>
      </c>
      <c r="N7" s="3">
        <f>3170218+92450</f>
        <v>3262668</v>
      </c>
      <c r="O7" s="3">
        <v>0.93266057622348553</v>
      </c>
      <c r="P7" s="3">
        <v>3300133</v>
      </c>
      <c r="Q7" s="3">
        <v>1.1513158546847009</v>
      </c>
      <c r="R7" s="3">
        <f>3238029+269753</f>
        <v>3507782</v>
      </c>
      <c r="S7" s="3">
        <v>0.95522745422155708</v>
      </c>
      <c r="T7" s="3">
        <f>677+3398638+329194</f>
        <v>3728509</v>
      </c>
      <c r="U7" s="3">
        <v>0.99006074920363951</v>
      </c>
      <c r="V7" s="3">
        <f>4077251+267517</f>
        <v>4344768</v>
      </c>
      <c r="W7" s="14">
        <f>'2021'!C7/'2020'!V7</f>
        <v>0.94531422621414996</v>
      </c>
    </row>
    <row r="8" spans="1:23" ht="22.5" customHeight="1" x14ac:dyDescent="0.25">
      <c r="A8" s="24"/>
      <c r="B8" s="5" t="s">
        <v>15</v>
      </c>
      <c r="C8" s="3">
        <v>1199746</v>
      </c>
      <c r="D8" s="3">
        <v>1118290</v>
      </c>
      <c r="E8" s="3">
        <v>935130</v>
      </c>
      <c r="F8" s="3">
        <v>737581</v>
      </c>
      <c r="G8" s="3">
        <v>0.77435005599657647</v>
      </c>
      <c r="H8" s="3">
        <v>412814</v>
      </c>
      <c r="I8" s="3">
        <v>0.74233770858599946</v>
      </c>
      <c r="J8" s="3">
        <v>373315</v>
      </c>
      <c r="K8" s="3">
        <v>0.87703398977659208</v>
      </c>
      <c r="L8" s="3">
        <v>518488</v>
      </c>
      <c r="M8" s="3">
        <v>1.1573487106054157</v>
      </c>
      <c r="N8" s="3">
        <v>424606</v>
      </c>
      <c r="O8" s="3">
        <v>1.1811909374435707</v>
      </c>
      <c r="P8" s="3">
        <v>526675</v>
      </c>
      <c r="Q8" s="3">
        <v>1.2726706527154958</v>
      </c>
      <c r="R8" s="3">
        <v>758251</v>
      </c>
      <c r="S8" s="3">
        <v>1.3999498755787294</v>
      </c>
      <c r="T8" s="3">
        <v>932654</v>
      </c>
      <c r="U8" s="3">
        <v>1.1749248159725938</v>
      </c>
      <c r="V8" s="3">
        <v>1265140</v>
      </c>
      <c r="W8" s="14">
        <f>'2021'!C8/'2020'!V8</f>
        <v>1.1035292536794348</v>
      </c>
    </row>
    <row r="9" spans="1:23" ht="22.5" customHeight="1" x14ac:dyDescent="0.25">
      <c r="A9" s="24"/>
      <c r="B9" s="5" t="s">
        <v>16</v>
      </c>
      <c r="C9" s="3">
        <v>48796</v>
      </c>
      <c r="D9" s="3">
        <v>44007</v>
      </c>
      <c r="E9" s="3">
        <v>25390</v>
      </c>
      <c r="F9" s="3">
        <v>21037</v>
      </c>
      <c r="G9" s="3">
        <v>0.65688875786163525</v>
      </c>
      <c r="H9" s="3">
        <v>17517</v>
      </c>
      <c r="I9" s="3">
        <v>0.74444610666467204</v>
      </c>
      <c r="J9" s="3">
        <v>14901</v>
      </c>
      <c r="K9" s="3">
        <v>1.1052499372017082</v>
      </c>
      <c r="L9" s="3">
        <v>16078</v>
      </c>
      <c r="M9" s="3">
        <v>0.85131818181818186</v>
      </c>
      <c r="N9" s="3">
        <v>79999</v>
      </c>
      <c r="O9" s="3">
        <v>1.7766565219712744</v>
      </c>
      <c r="P9" s="3">
        <v>18342</v>
      </c>
      <c r="Q9" s="3">
        <v>1.0506386175807663</v>
      </c>
      <c r="R9" s="3">
        <v>19911</v>
      </c>
      <c r="S9" s="3">
        <v>1.1934496567505721</v>
      </c>
      <c r="T9" s="3">
        <v>25827</v>
      </c>
      <c r="U9" s="3">
        <v>1.0585049013733432</v>
      </c>
      <c r="V9" s="3">
        <v>25711</v>
      </c>
      <c r="W9" s="14">
        <f>'2021'!C9/'2020'!V9</f>
        <v>0.97184084633036438</v>
      </c>
    </row>
    <row r="10" spans="1:23" ht="22.5" customHeight="1" x14ac:dyDescent="0.25">
      <c r="A10" s="24"/>
      <c r="B10" s="26" t="s">
        <v>19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</row>
    <row r="11" spans="1:23" ht="22.5" customHeight="1" x14ac:dyDescent="0.25">
      <c r="A11" s="25"/>
      <c r="B11" s="4"/>
      <c r="C11" s="3">
        <f>2164+1607</f>
        <v>3771</v>
      </c>
      <c r="D11" s="3">
        <f>2267+1634</f>
        <v>3901</v>
      </c>
      <c r="E11" s="3">
        <f>2358+633</f>
        <v>2991</v>
      </c>
      <c r="F11" s="3">
        <f>2330+649</f>
        <v>2979</v>
      </c>
      <c r="G11" s="3">
        <v>0.95978391356542614</v>
      </c>
      <c r="H11" s="3">
        <f>2594+1067</f>
        <v>3661</v>
      </c>
      <c r="I11" s="3">
        <v>0.90462789243277053</v>
      </c>
      <c r="J11" s="3">
        <f>1924+482</f>
        <v>2406</v>
      </c>
      <c r="K11" s="3">
        <v>0.80055305910819219</v>
      </c>
      <c r="L11" s="3">
        <f>1250+2684</f>
        <v>3934</v>
      </c>
      <c r="M11" s="3">
        <v>2.1519861830742659</v>
      </c>
      <c r="N11" s="3">
        <f>1245+777</f>
        <v>2022</v>
      </c>
      <c r="O11" s="3">
        <v>0.6410513643659711</v>
      </c>
      <c r="P11" s="3">
        <v>2824</v>
      </c>
      <c r="Q11" s="3">
        <v>1.0040688575899843</v>
      </c>
      <c r="R11" s="3">
        <f>1604+1877</f>
        <v>3481</v>
      </c>
      <c r="S11" s="3">
        <v>1.2272443890274314</v>
      </c>
      <c r="T11" s="3">
        <v>1686</v>
      </c>
      <c r="U11" s="3">
        <v>0.98399796799593597</v>
      </c>
      <c r="V11" s="3">
        <f>1554+1618</f>
        <v>3172</v>
      </c>
      <c r="W11" s="14">
        <f>'2021'!C11/'2020'!V11</f>
        <v>1.1875788146279949</v>
      </c>
    </row>
    <row r="12" spans="1:23" ht="22.5" customHeight="1" x14ac:dyDescent="0.25">
      <c r="A12" s="29" t="s">
        <v>17</v>
      </c>
      <c r="B12" s="30"/>
      <c r="C12" s="9">
        <f>SUM(C5:C9,C11)</f>
        <v>84453548</v>
      </c>
      <c r="D12" s="9">
        <f t="shared" ref="D12:V12" si="0">SUM(D5:D9,D11)</f>
        <v>80059810</v>
      </c>
      <c r="E12" s="9">
        <f t="shared" si="0"/>
        <v>85928204</v>
      </c>
      <c r="F12" s="9">
        <f t="shared" si="0"/>
        <v>78302416</v>
      </c>
      <c r="G12" s="9"/>
      <c r="H12" s="9">
        <f t="shared" si="0"/>
        <v>65992205</v>
      </c>
      <c r="I12" s="9"/>
      <c r="J12" s="9">
        <f t="shared" si="0"/>
        <v>68395801</v>
      </c>
      <c r="K12" s="9"/>
      <c r="L12" s="9">
        <f t="shared" si="0"/>
        <v>72883953</v>
      </c>
      <c r="M12" s="9"/>
      <c r="N12" s="9">
        <f t="shared" si="0"/>
        <v>75240880</v>
      </c>
      <c r="O12" s="9"/>
      <c r="P12" s="9">
        <f t="shared" si="0"/>
        <v>73822147</v>
      </c>
      <c r="Q12" s="9"/>
      <c r="R12" s="9">
        <f t="shared" si="0"/>
        <v>79336711</v>
      </c>
      <c r="S12" s="9"/>
      <c r="T12" s="9">
        <f t="shared" si="0"/>
        <v>82172453</v>
      </c>
      <c r="U12" s="9"/>
      <c r="V12" s="9">
        <f t="shared" si="0"/>
        <v>89744417</v>
      </c>
    </row>
  </sheetData>
  <mergeCells count="5">
    <mergeCell ref="A2:V2"/>
    <mergeCell ref="A4:A11"/>
    <mergeCell ref="B4:V4"/>
    <mergeCell ref="B10:V10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2"/>
  <sheetViews>
    <sheetView zoomScale="70" zoomScaleNormal="70" workbookViewId="0">
      <selection activeCell="AH11" sqref="AH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" style="1" hidden="1" customWidth="1"/>
    <col min="5" max="5" width="16.7109375" style="1" customWidth="1"/>
    <col min="6" max="6" width="16.7109375" style="1" hidden="1" customWidth="1"/>
    <col min="7" max="7" width="16.42578125" style="1" customWidth="1"/>
    <col min="8" max="8" width="16.42578125" style="1" hidden="1" customWidth="1"/>
    <col min="9" max="9" width="15.85546875" style="1" customWidth="1"/>
    <col min="10" max="11" width="15.85546875" style="1" hidden="1" customWidth="1"/>
    <col min="12" max="12" width="17.85546875" style="1" customWidth="1"/>
    <col min="13" max="14" width="17.85546875" style="1" hidden="1" customWidth="1"/>
    <col min="15" max="15" width="18.42578125" style="1" customWidth="1"/>
    <col min="16" max="17" width="18.42578125" style="1" hidden="1" customWidth="1"/>
    <col min="18" max="18" width="19.85546875" style="1" customWidth="1"/>
    <col min="19" max="20" width="19.85546875" style="1" hidden="1" customWidth="1"/>
    <col min="21" max="21" width="21" style="1" customWidth="1"/>
    <col min="22" max="23" width="21" style="1" hidden="1" customWidth="1"/>
    <col min="24" max="24" width="22.140625" style="1" customWidth="1"/>
    <col min="25" max="26" width="22.140625" style="1" hidden="1" customWidth="1"/>
    <col min="27" max="27" width="22.42578125" style="1" customWidth="1"/>
    <col min="28" max="29" width="22.42578125" style="1" hidden="1" customWidth="1"/>
    <col min="30" max="30" width="24.28515625" style="1" customWidth="1"/>
    <col min="31" max="32" width="24.28515625" style="1" hidden="1" customWidth="1"/>
    <col min="33" max="33" width="24.140625" style="1" customWidth="1"/>
    <col min="34" max="34" width="9.140625" style="14"/>
    <col min="35" max="16384" width="9.140625" style="1"/>
  </cols>
  <sheetData>
    <row r="2" spans="1:34" ht="42.75" customHeight="1" x14ac:dyDescent="0.25">
      <c r="A2" s="2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4" s="2" customFormat="1" ht="33" customHeight="1" x14ac:dyDescent="0.25">
      <c r="A3" s="6" t="s">
        <v>21</v>
      </c>
      <c r="B3" s="7" t="s">
        <v>0</v>
      </c>
      <c r="C3" s="8" t="s">
        <v>1</v>
      </c>
      <c r="D3" s="8"/>
      <c r="E3" s="8" t="s">
        <v>2</v>
      </c>
      <c r="F3" s="8"/>
      <c r="G3" s="8" t="s">
        <v>3</v>
      </c>
      <c r="H3" s="8"/>
      <c r="I3" s="8" t="s">
        <v>4</v>
      </c>
      <c r="J3" s="8"/>
      <c r="K3" s="8"/>
      <c r="L3" s="8" t="s">
        <v>5</v>
      </c>
      <c r="M3" s="8"/>
      <c r="N3" s="8"/>
      <c r="O3" s="8" t="s">
        <v>6</v>
      </c>
      <c r="P3" s="8"/>
      <c r="Q3" s="8"/>
      <c r="R3" s="8" t="s">
        <v>7</v>
      </c>
      <c r="S3" s="8"/>
      <c r="T3" s="8"/>
      <c r="U3" s="8" t="s">
        <v>8</v>
      </c>
      <c r="V3" s="8"/>
      <c r="W3" s="8"/>
      <c r="X3" s="8" t="s">
        <v>9</v>
      </c>
      <c r="Y3" s="8"/>
      <c r="Z3" s="8"/>
      <c r="AA3" s="8" t="s">
        <v>10</v>
      </c>
      <c r="AB3" s="8"/>
      <c r="AC3" s="8"/>
      <c r="AD3" s="8" t="s">
        <v>11</v>
      </c>
      <c r="AE3" s="8"/>
      <c r="AF3" s="8"/>
      <c r="AG3" s="8" t="s">
        <v>12</v>
      </c>
      <c r="AH3" s="15"/>
    </row>
    <row r="4" spans="1:34" ht="22.5" customHeight="1" x14ac:dyDescent="0.25">
      <c r="A4" s="23" t="s">
        <v>26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8"/>
    </row>
    <row r="5" spans="1:34" ht="22.5" customHeight="1" x14ac:dyDescent="0.25">
      <c r="A5" s="24"/>
      <c r="B5" s="16" t="s">
        <v>30</v>
      </c>
      <c r="C5" s="3">
        <v>4114</v>
      </c>
      <c r="D5" s="3">
        <v>0.93895914396887159</v>
      </c>
      <c r="E5" s="3">
        <v>3699</v>
      </c>
      <c r="F5" s="3">
        <v>1.0385910385910386</v>
      </c>
      <c r="G5" s="3">
        <v>4100</v>
      </c>
      <c r="H5" s="3">
        <v>0.83466334164588529</v>
      </c>
      <c r="I5" s="3">
        <v>5121</v>
      </c>
      <c r="J5" s="3"/>
      <c r="K5" s="3">
        <v>0.89841649238123689</v>
      </c>
      <c r="L5" s="3">
        <v>3927</v>
      </c>
      <c r="M5" s="3"/>
      <c r="N5" s="3">
        <v>0.9876953774526106</v>
      </c>
      <c r="O5" s="3">
        <v>3835</v>
      </c>
      <c r="P5" s="3"/>
      <c r="Q5" s="3">
        <v>0.97710437710437714</v>
      </c>
      <c r="R5" s="3">
        <v>3935</v>
      </c>
      <c r="S5" s="3"/>
      <c r="T5" s="3"/>
      <c r="U5" s="3">
        <v>3954</v>
      </c>
      <c r="V5" s="3"/>
      <c r="W5" s="3">
        <v>0.94704684317718946</v>
      </c>
      <c r="X5" s="17">
        <f>2960+1517</f>
        <v>4477</v>
      </c>
      <c r="Y5" s="3"/>
      <c r="Z5" s="3">
        <v>1.1096774193548387</v>
      </c>
      <c r="AA5" s="3">
        <v>5157</v>
      </c>
      <c r="AB5" s="3"/>
      <c r="AC5" s="3">
        <v>1.2296511627906976</v>
      </c>
      <c r="AD5" s="3">
        <v>6133</v>
      </c>
      <c r="AE5" s="3"/>
      <c r="AF5" s="3">
        <v>1.0903598634095089</v>
      </c>
      <c r="AG5" s="3">
        <v>10555</v>
      </c>
      <c r="AH5" s="14">
        <f>'2022'!D5/'2021'!AG5</f>
        <v>0.73273330175272378</v>
      </c>
    </row>
    <row r="6" spans="1:34" ht="22.5" customHeight="1" x14ac:dyDescent="0.25">
      <c r="A6" s="24"/>
      <c r="B6" s="5" t="s">
        <v>13</v>
      </c>
      <c r="C6" s="3">
        <f>76148025+1373396</f>
        <v>77521421</v>
      </c>
      <c r="D6" s="3">
        <v>0.94840490853203518</v>
      </c>
      <c r="E6" s="3">
        <f>75767827+1214114</f>
        <v>76981941</v>
      </c>
      <c r="F6" s="3">
        <v>1.0766691276611338</v>
      </c>
      <c r="G6" s="3">
        <f>81970379+1224419</f>
        <v>83194798</v>
      </c>
      <c r="H6" s="3">
        <v>0.91566461760566709</v>
      </c>
      <c r="I6" s="3">
        <f>77915729+717487</f>
        <v>78633216</v>
      </c>
      <c r="J6" s="3"/>
      <c r="K6" s="3">
        <v>0.84222252381922924</v>
      </c>
      <c r="L6" s="3">
        <f>76670985+463250</f>
        <v>77134235</v>
      </c>
      <c r="M6" s="3"/>
      <c r="N6" s="3">
        <v>1.0393267223236105</v>
      </c>
      <c r="O6" s="3">
        <f>72574927+499407</f>
        <v>73074334</v>
      </c>
      <c r="P6" s="3"/>
      <c r="Q6" s="3">
        <v>1.0585085991269334</v>
      </c>
      <c r="R6" s="3">
        <f>77078019+476119</f>
        <v>77554138</v>
      </c>
      <c r="S6" s="3"/>
      <c r="T6" s="3">
        <v>1.0380202225934203</v>
      </c>
      <c r="U6" s="3">
        <f>81558852+530223</f>
        <v>82089075</v>
      </c>
      <c r="V6" s="3"/>
      <c r="W6" s="3">
        <v>0.97905016772461551</v>
      </c>
      <c r="X6" s="3">
        <f>81675661+590946</f>
        <v>82266607</v>
      </c>
      <c r="Y6" s="3"/>
      <c r="Z6" s="3">
        <v>1.072498309773297</v>
      </c>
      <c r="AA6" s="3">
        <f>89441111+566987</f>
        <v>90008098</v>
      </c>
      <c r="AB6" s="3"/>
      <c r="AC6" s="3">
        <v>1.0324579424469769</v>
      </c>
      <c r="AD6" s="3">
        <f>92323607+1225442</f>
        <v>93549049</v>
      </c>
      <c r="AE6" s="3"/>
      <c r="AF6" s="3">
        <v>1.0854608616910926</v>
      </c>
      <c r="AG6" s="3">
        <f>98489480+1443834</f>
        <v>99933314</v>
      </c>
      <c r="AH6" s="14">
        <f>'2022'!D6/'2021'!AG6</f>
        <v>0.97138426731250005</v>
      </c>
    </row>
    <row r="7" spans="1:34" ht="22.5" customHeight="1" x14ac:dyDescent="0.25">
      <c r="A7" s="24"/>
      <c r="B7" s="5" t="s">
        <v>14</v>
      </c>
      <c r="C7" s="3">
        <f>3855342+251829</f>
        <v>4107171</v>
      </c>
      <c r="D7" s="3">
        <v>0.94442761368684369</v>
      </c>
      <c r="E7" s="3">
        <f>3318340+150997</f>
        <v>3469337</v>
      </c>
      <c r="F7" s="3">
        <v>1.0830743820360837</v>
      </c>
      <c r="G7" s="3">
        <f>3748326+184617</f>
        <v>3932943</v>
      </c>
      <c r="H7" s="3">
        <v>0.84791726619460628</v>
      </c>
      <c r="I7" s="3">
        <f>3581104+84662</f>
        <v>3665766</v>
      </c>
      <c r="J7" s="3"/>
      <c r="K7" s="3">
        <v>0.92007151932424525</v>
      </c>
      <c r="L7" s="3">
        <f>3459224+55748</f>
        <v>3514972</v>
      </c>
      <c r="M7" s="3"/>
      <c r="N7" s="3">
        <v>0.99521408875341144</v>
      </c>
      <c r="O7" s="3">
        <f>3392427+41677</f>
        <v>3434104</v>
      </c>
      <c r="P7" s="3"/>
      <c r="Q7" s="3">
        <v>1.1808041322948488</v>
      </c>
      <c r="R7" s="3">
        <f>3508432+54127</f>
        <v>3562559</v>
      </c>
      <c r="S7" s="3"/>
      <c r="T7" s="3">
        <v>0.93442306034501277</v>
      </c>
      <c r="U7" s="3">
        <f>3597473+87446</f>
        <v>3684919</v>
      </c>
      <c r="V7" s="3"/>
      <c r="W7" s="3">
        <v>1.011482933599128</v>
      </c>
      <c r="X7" s="3">
        <f>3359485+121281</f>
        <v>3480766</v>
      </c>
      <c r="Y7" s="3"/>
      <c r="Z7" s="3">
        <v>1.0629214034707086</v>
      </c>
      <c r="AA7" s="3">
        <f>3563786+259097</f>
        <v>3822883</v>
      </c>
      <c r="AB7" s="3"/>
      <c r="AC7" s="3">
        <v>1.0629249480155836</v>
      </c>
      <c r="AD7" s="3">
        <f>3603280+356180</f>
        <v>3959460</v>
      </c>
      <c r="AE7" s="3"/>
      <c r="AF7" s="3">
        <v>1.1652829589522247</v>
      </c>
      <c r="AG7" s="3">
        <f>3837012+408719</f>
        <v>4245731</v>
      </c>
      <c r="AH7" s="14">
        <f>'2022'!D7/'2021'!AG7</f>
        <v>0.97371171183478178</v>
      </c>
    </row>
    <row r="8" spans="1:34" ht="22.5" customHeight="1" x14ac:dyDescent="0.25">
      <c r="A8" s="24"/>
      <c r="B8" s="5" t="s">
        <v>15</v>
      </c>
      <c r="C8" s="3">
        <v>1396119</v>
      </c>
      <c r="D8" s="3">
        <v>0.9321056290248102</v>
      </c>
      <c r="E8" s="3">
        <v>1375764</v>
      </c>
      <c r="F8" s="3">
        <v>0.83621421992506417</v>
      </c>
      <c r="G8" s="3">
        <v>1228163</v>
      </c>
      <c r="H8" s="3">
        <v>0.78874701913102996</v>
      </c>
      <c r="I8" s="3">
        <v>677525</v>
      </c>
      <c r="J8" s="3"/>
      <c r="K8" s="3">
        <v>0.55968632597640122</v>
      </c>
      <c r="L8" s="3">
        <v>425099</v>
      </c>
      <c r="M8" s="3"/>
      <c r="N8" s="3">
        <v>0.90431768302431603</v>
      </c>
      <c r="O8" s="3">
        <v>343529</v>
      </c>
      <c r="P8" s="3"/>
      <c r="Q8" s="3">
        <v>1.388875346557197</v>
      </c>
      <c r="R8" s="3">
        <v>469978</v>
      </c>
      <c r="S8" s="3"/>
      <c r="T8" s="3"/>
      <c r="U8" s="3">
        <v>368236</v>
      </c>
      <c r="V8" s="3"/>
      <c r="W8" s="3">
        <v>1.2403852041657442</v>
      </c>
      <c r="X8" s="17">
        <v>548186</v>
      </c>
      <c r="Y8" s="3"/>
      <c r="Z8" s="3">
        <v>1.439694308634357</v>
      </c>
      <c r="AA8" s="3">
        <v>657558</v>
      </c>
      <c r="AB8" s="3"/>
      <c r="AC8" s="3">
        <v>1.2300069502051432</v>
      </c>
      <c r="AD8" s="3">
        <v>822874</v>
      </c>
      <c r="AE8" s="3"/>
      <c r="AF8" s="3">
        <v>1.356494477051511</v>
      </c>
      <c r="AG8" s="3">
        <v>1029783</v>
      </c>
      <c r="AH8" s="14">
        <f>'2022'!D8/'2021'!AG8</f>
        <v>1.1125683760559264</v>
      </c>
    </row>
    <row r="9" spans="1:34" ht="22.5" customHeight="1" x14ac:dyDescent="0.25">
      <c r="A9" s="24"/>
      <c r="B9" s="5" t="s">
        <v>16</v>
      </c>
      <c r="C9" s="3">
        <v>24987</v>
      </c>
      <c r="D9" s="3">
        <v>0.90185670956635788</v>
      </c>
      <c r="E9" s="3">
        <v>43912</v>
      </c>
      <c r="F9" s="3">
        <v>0.57695366646215374</v>
      </c>
      <c r="G9" s="3">
        <v>34187</v>
      </c>
      <c r="H9" s="3">
        <v>0.82855454903505321</v>
      </c>
      <c r="I9" s="3">
        <v>23514</v>
      </c>
      <c r="J9" s="3"/>
      <c r="K9" s="3">
        <v>0.83267576175310165</v>
      </c>
      <c r="L9" s="3">
        <v>19217</v>
      </c>
      <c r="M9" s="3"/>
      <c r="N9" s="3">
        <v>0.85065935947936289</v>
      </c>
      <c r="O9" s="3">
        <v>15687</v>
      </c>
      <c r="P9" s="3"/>
      <c r="Q9" s="3">
        <v>1.0789879873833972</v>
      </c>
      <c r="R9" s="3">
        <v>16263</v>
      </c>
      <c r="S9" s="3"/>
      <c r="T9" s="3"/>
      <c r="U9" s="3">
        <v>16130</v>
      </c>
      <c r="V9" s="3"/>
      <c r="W9" s="3">
        <v>0.22927786597332467</v>
      </c>
      <c r="X9" s="17">
        <v>19888</v>
      </c>
      <c r="Y9" s="3"/>
      <c r="Z9" s="3">
        <v>1.0855413804383383</v>
      </c>
      <c r="AA9" s="3">
        <v>21044</v>
      </c>
      <c r="AB9" s="3"/>
      <c r="AC9" s="3">
        <v>1.2971221937622419</v>
      </c>
      <c r="AD9" s="3">
        <v>34795</v>
      </c>
      <c r="AE9" s="3"/>
      <c r="AF9" s="3">
        <v>0.99550857629612421</v>
      </c>
      <c r="AG9" s="3">
        <v>35499</v>
      </c>
      <c r="AH9" s="14">
        <f>'2022'!D9/'2021'!AG9</f>
        <v>1.0192681483985464</v>
      </c>
    </row>
    <row r="10" spans="1:34" ht="22.5" customHeight="1" x14ac:dyDescent="0.25">
      <c r="A10" s="24"/>
      <c r="B10" s="26" t="s">
        <v>19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4" ht="22.5" customHeight="1" x14ac:dyDescent="0.25">
      <c r="A11" s="25"/>
      <c r="B11" s="4"/>
      <c r="C11" s="3">
        <f>1645+2122</f>
        <v>3767</v>
      </c>
      <c r="D11" s="3">
        <v>1.0344736144258817</v>
      </c>
      <c r="E11" s="3">
        <f>1367+1642</f>
        <v>3009</v>
      </c>
      <c r="F11" s="3">
        <v>0.76672648038964364</v>
      </c>
      <c r="G11" s="3">
        <f>1433+1362</f>
        <v>2795</v>
      </c>
      <c r="H11" s="3">
        <v>0.99598796389167499</v>
      </c>
      <c r="I11" s="3">
        <f>1499+957</f>
        <v>2456</v>
      </c>
      <c r="J11" s="3"/>
      <c r="K11" s="3">
        <v>1.2289358845250085</v>
      </c>
      <c r="L11" s="3">
        <v>1418</v>
      </c>
      <c r="M11" s="3"/>
      <c r="N11" s="3">
        <v>0.65719748702540293</v>
      </c>
      <c r="O11" s="3">
        <f>1249+921</f>
        <v>2170</v>
      </c>
      <c r="P11" s="3"/>
      <c r="Q11" s="3">
        <v>1.6350789692435577</v>
      </c>
      <c r="R11" s="3">
        <f>1213+903</f>
        <v>2116</v>
      </c>
      <c r="S11" s="3"/>
      <c r="T11" s="3">
        <v>0.5139806812404677</v>
      </c>
      <c r="U11" s="3">
        <f>1149+1046</f>
        <v>2195</v>
      </c>
      <c r="V11" s="3"/>
      <c r="W11" s="3">
        <v>1.3966369930761622</v>
      </c>
      <c r="X11" s="3">
        <f>772+1028</f>
        <v>1800</v>
      </c>
      <c r="Y11" s="3"/>
      <c r="Z11" s="3">
        <v>1.2326487252124645</v>
      </c>
      <c r="AA11" s="3">
        <f>1879+910</f>
        <v>2789</v>
      </c>
      <c r="AB11" s="3"/>
      <c r="AC11" s="3">
        <v>0.48434357943119793</v>
      </c>
      <c r="AD11" s="3">
        <f>2354+1267</f>
        <v>3621</v>
      </c>
      <c r="AE11" s="3"/>
      <c r="AF11" s="3">
        <v>1.8813760379596678</v>
      </c>
      <c r="AG11" s="3">
        <f>2200+2855</f>
        <v>5055</v>
      </c>
      <c r="AH11" s="14">
        <f>'2022'!D11/'2021'!AG11</f>
        <v>0.61978239366963406</v>
      </c>
    </row>
    <row r="12" spans="1:34" ht="22.5" customHeight="1" x14ac:dyDescent="0.25">
      <c r="A12" s="29" t="s">
        <v>17</v>
      </c>
      <c r="B12" s="30"/>
      <c r="C12" s="9">
        <f>SUM(C5:C9,C11)</f>
        <v>83057579</v>
      </c>
      <c r="D12" s="9"/>
      <c r="E12" s="9">
        <f t="shared" ref="E12:AG12" si="0">SUM(E5:E9,E11)</f>
        <v>81877662</v>
      </c>
      <c r="F12" s="9"/>
      <c r="G12" s="9">
        <f t="shared" si="0"/>
        <v>88396986</v>
      </c>
      <c r="H12" s="9"/>
      <c r="I12" s="9">
        <f t="shared" si="0"/>
        <v>83007598</v>
      </c>
      <c r="J12" s="9"/>
      <c r="K12" s="9"/>
      <c r="L12" s="9">
        <f t="shared" si="0"/>
        <v>81098868</v>
      </c>
      <c r="M12" s="9"/>
      <c r="N12" s="9"/>
      <c r="O12" s="9">
        <f t="shared" si="0"/>
        <v>76873659</v>
      </c>
      <c r="P12" s="9"/>
      <c r="Q12" s="9"/>
      <c r="R12" s="9">
        <f t="shared" si="0"/>
        <v>81608989</v>
      </c>
      <c r="S12" s="9"/>
      <c r="T12" s="9"/>
      <c r="U12" s="9">
        <f t="shared" si="0"/>
        <v>86164509</v>
      </c>
      <c r="V12" s="9"/>
      <c r="W12" s="9"/>
      <c r="X12" s="9">
        <f t="shared" si="0"/>
        <v>86321724</v>
      </c>
      <c r="Y12" s="9"/>
      <c r="Z12" s="9"/>
      <c r="AA12" s="9">
        <f t="shared" si="0"/>
        <v>94517529</v>
      </c>
      <c r="AB12" s="9"/>
      <c r="AC12" s="9"/>
      <c r="AD12" s="9">
        <f t="shared" si="0"/>
        <v>98375932</v>
      </c>
      <c r="AE12" s="9"/>
      <c r="AF12" s="9"/>
      <c r="AG12" s="9">
        <f t="shared" si="0"/>
        <v>105259937</v>
      </c>
    </row>
  </sheetData>
  <mergeCells count="5">
    <mergeCell ref="A2:AG2"/>
    <mergeCell ref="A4:A11"/>
    <mergeCell ref="B4:AG4"/>
    <mergeCell ref="B10:AG10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Рощин Игорь Сергеевич</cp:lastModifiedBy>
  <dcterms:created xsi:type="dcterms:W3CDTF">2013-11-13T16:10:49Z</dcterms:created>
  <dcterms:modified xsi:type="dcterms:W3CDTF">2025-01-23T09:20:15Z</dcterms:modified>
</cp:coreProperties>
</file>