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msk3\операционный департамент\Отдел реализации\для сайта\_ТСО\по факту\"/>
    </mc:Choice>
  </mc:AlternateContent>
  <bookViews>
    <workbookView xWindow="4605" yWindow="1050" windowWidth="25440" windowHeight="10470" firstSheet="8" activeTab="11"/>
  </bookViews>
  <sheets>
    <sheet name="2013 " sheetId="5" state="hidden" r:id="rId1"/>
    <sheet name="2014" sheetId="6" state="hidden" r:id="rId2"/>
    <sheet name="2015 " sheetId="7" state="hidden" r:id="rId3"/>
    <sheet name="2016" sheetId="8" state="hidden" r:id="rId4"/>
    <sheet name="2017" sheetId="9" state="hidden" r:id="rId5"/>
    <sheet name="2018" sheetId="10" state="hidden" r:id="rId6"/>
    <sheet name="2019" sheetId="11" state="hidden" r:id="rId7"/>
    <sheet name="2020" sheetId="12" state="hidden" r:id="rId8"/>
    <sheet name="2021" sheetId="13" r:id="rId9"/>
    <sheet name="2022" sheetId="14" r:id="rId10"/>
    <sheet name="2023" sheetId="15" r:id="rId11"/>
    <sheet name="2024" sheetId="16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calcPr calcId="162913"/>
</workbook>
</file>

<file path=xl/calcChain.xml><?xml version="1.0" encoding="utf-8"?>
<calcChain xmlns="http://schemas.openxmlformats.org/spreadsheetml/2006/main">
  <c r="N5" i="16" l="1"/>
  <c r="I5" i="16" l="1"/>
  <c r="O17" i="16" l="1"/>
  <c r="O15" i="16"/>
  <c r="O13" i="16"/>
  <c r="O12" i="16"/>
  <c r="D17" i="16" l="1"/>
  <c r="D15" i="16"/>
  <c r="D13" i="16"/>
  <c r="D12" i="16"/>
  <c r="E17" i="16" l="1"/>
  <c r="E15" i="16"/>
  <c r="E13" i="16"/>
  <c r="E12" i="16"/>
  <c r="F17" i="16" l="1"/>
  <c r="F15" i="16"/>
  <c r="F13" i="16"/>
  <c r="F12" i="16"/>
  <c r="F25" i="16"/>
  <c r="F23" i="16"/>
  <c r="F22" i="16"/>
  <c r="F10" i="16"/>
  <c r="F8" i="16"/>
  <c r="F7" i="16"/>
  <c r="F6" i="16"/>
  <c r="F5" i="16"/>
  <c r="O25" i="16" l="1"/>
  <c r="O23" i="16"/>
  <c r="O22" i="16"/>
  <c r="N34" i="16" l="1"/>
  <c r="M34" i="16"/>
  <c r="L34" i="16"/>
  <c r="K34" i="16"/>
  <c r="J34" i="16"/>
  <c r="I34" i="16"/>
  <c r="H34" i="16"/>
  <c r="G34" i="16"/>
  <c r="F34" i="16"/>
  <c r="E34" i="16"/>
  <c r="D34" i="16"/>
  <c r="C34" i="16"/>
  <c r="O26" i="16"/>
  <c r="N26" i="16"/>
  <c r="M26" i="16"/>
  <c r="L26" i="16"/>
  <c r="K26" i="16"/>
  <c r="J26" i="16"/>
  <c r="H26" i="16"/>
  <c r="G26" i="16"/>
  <c r="F26" i="16"/>
  <c r="E26" i="16"/>
  <c r="D26" i="16"/>
  <c r="C26" i="16"/>
  <c r="I26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C11" i="16"/>
  <c r="O10" i="16"/>
  <c r="O8" i="16"/>
  <c r="O7" i="16"/>
  <c r="O6" i="16"/>
  <c r="O5" i="16"/>
  <c r="O11" i="15" l="1"/>
  <c r="O25" i="15" l="1"/>
  <c r="O23" i="15"/>
  <c r="O22" i="15"/>
  <c r="O17" i="15"/>
  <c r="O15" i="15"/>
  <c r="O13" i="15"/>
  <c r="O10" i="15"/>
  <c r="O8" i="15"/>
  <c r="O7" i="15"/>
  <c r="O6" i="15"/>
  <c r="O5" i="15"/>
  <c r="O26" i="15" l="1"/>
  <c r="O18" i="15"/>
  <c r="I21" i="15" l="1"/>
  <c r="C11" i="15" l="1"/>
  <c r="AH25" i="13"/>
  <c r="AH23" i="13"/>
  <c r="AH22" i="13"/>
  <c r="AH21" i="13"/>
  <c r="AH17" i="13"/>
  <c r="AH15" i="13"/>
  <c r="AH13" i="13"/>
  <c r="AH10" i="13"/>
  <c r="AH8" i="13"/>
  <c r="AH7" i="13"/>
  <c r="AH6" i="13"/>
  <c r="AH5" i="13"/>
  <c r="N34" i="15"/>
  <c r="M34" i="15"/>
  <c r="L34" i="15"/>
  <c r="K34" i="15"/>
  <c r="J34" i="15"/>
  <c r="I34" i="15"/>
  <c r="H34" i="15"/>
  <c r="G34" i="15"/>
  <c r="F34" i="15"/>
  <c r="E34" i="15"/>
  <c r="D34" i="15"/>
  <c r="C34" i="15"/>
  <c r="M26" i="15"/>
  <c r="L26" i="15"/>
  <c r="K26" i="15"/>
  <c r="J26" i="15"/>
  <c r="I26" i="15"/>
  <c r="H26" i="15"/>
  <c r="G26" i="15"/>
  <c r="F26" i="15"/>
  <c r="E26" i="15"/>
  <c r="D26" i="15"/>
  <c r="C26" i="15"/>
  <c r="N26" i="15"/>
  <c r="M18" i="15"/>
  <c r="L18" i="15"/>
  <c r="K18" i="15"/>
  <c r="J18" i="15"/>
  <c r="I18" i="15"/>
  <c r="H18" i="15"/>
  <c r="G18" i="15"/>
  <c r="F18" i="15"/>
  <c r="E18" i="15"/>
  <c r="D18" i="15"/>
  <c r="C18" i="15"/>
  <c r="N18" i="15"/>
  <c r="M11" i="15"/>
  <c r="L11" i="15"/>
  <c r="K11" i="15"/>
  <c r="J11" i="15"/>
  <c r="I11" i="15"/>
  <c r="H11" i="15"/>
  <c r="G11" i="15"/>
  <c r="F11" i="15"/>
  <c r="E11" i="15"/>
  <c r="D11" i="15"/>
  <c r="N11" i="15"/>
  <c r="AP25" i="14" l="1"/>
  <c r="AQ25" i="14"/>
  <c r="AR25" i="14"/>
  <c r="AP21" i="14"/>
  <c r="AQ21" i="14"/>
  <c r="AR21" i="14"/>
  <c r="AP22" i="14"/>
  <c r="AQ22" i="14"/>
  <c r="AR22" i="14"/>
  <c r="AP23" i="14"/>
  <c r="AQ23" i="14"/>
  <c r="AR23" i="14"/>
  <c r="AP17" i="14"/>
  <c r="AQ17" i="14"/>
  <c r="AR17" i="14"/>
  <c r="AP15" i="14"/>
  <c r="AQ15" i="14"/>
  <c r="AR15" i="14"/>
  <c r="AP13" i="14"/>
  <c r="AQ13" i="14"/>
  <c r="AR13" i="14"/>
  <c r="AP10" i="14"/>
  <c r="AQ10" i="14"/>
  <c r="AR10" i="14"/>
  <c r="AP5" i="14"/>
  <c r="AQ5" i="14"/>
  <c r="AR5" i="14"/>
  <c r="AP6" i="14"/>
  <c r="AQ6" i="14"/>
  <c r="AR6" i="14"/>
  <c r="AP7" i="14"/>
  <c r="AQ7" i="14"/>
  <c r="AR7" i="14"/>
  <c r="AP8" i="14"/>
  <c r="AQ8" i="14"/>
  <c r="AR8" i="14"/>
  <c r="AL25" i="14" l="1"/>
  <c r="AM25" i="14"/>
  <c r="AN25" i="14"/>
  <c r="AL21" i="14"/>
  <c r="AM21" i="14"/>
  <c r="AN21" i="14"/>
  <c r="AL22" i="14"/>
  <c r="AM22" i="14"/>
  <c r="AN22" i="14"/>
  <c r="AL23" i="14"/>
  <c r="AM23" i="14"/>
  <c r="AN23" i="14"/>
  <c r="AL13" i="14"/>
  <c r="AM13" i="14"/>
  <c r="AN13" i="14"/>
  <c r="AL15" i="14"/>
  <c r="AM15" i="14"/>
  <c r="AN15" i="14"/>
  <c r="AL17" i="14"/>
  <c r="AM17" i="14"/>
  <c r="AN17" i="14"/>
  <c r="AL10" i="14"/>
  <c r="AM10" i="14"/>
  <c r="AN10" i="14"/>
  <c r="AL5" i="14"/>
  <c r="AM5" i="14"/>
  <c r="AN5" i="14"/>
  <c r="AL6" i="14"/>
  <c r="AM6" i="14"/>
  <c r="AN6" i="14"/>
  <c r="AL7" i="14"/>
  <c r="AM7" i="14"/>
  <c r="AN7" i="14"/>
  <c r="AL8" i="14"/>
  <c r="AM8" i="14"/>
  <c r="AN8" i="14"/>
  <c r="AH25" i="14" l="1"/>
  <c r="AI25" i="14"/>
  <c r="AJ25" i="14"/>
  <c r="AH21" i="14"/>
  <c r="AI21" i="14"/>
  <c r="AJ21" i="14"/>
  <c r="AH22" i="14"/>
  <c r="AI22" i="14"/>
  <c r="AJ22" i="14"/>
  <c r="AH23" i="14"/>
  <c r="AI23" i="14"/>
  <c r="AJ23" i="14"/>
  <c r="AH13" i="14"/>
  <c r="AI13" i="14"/>
  <c r="AJ13" i="14"/>
  <c r="AH15" i="14"/>
  <c r="AI15" i="14"/>
  <c r="AJ15" i="14"/>
  <c r="AH17" i="14"/>
  <c r="AI17" i="14"/>
  <c r="AJ17" i="14"/>
  <c r="AH10" i="14"/>
  <c r="AI10" i="14"/>
  <c r="AJ10" i="14"/>
  <c r="AH5" i="14"/>
  <c r="AI5" i="14"/>
  <c r="AJ5" i="14"/>
  <c r="AH6" i="14"/>
  <c r="AI6" i="14"/>
  <c r="AJ6" i="14"/>
  <c r="AH7" i="14"/>
  <c r="AI7" i="14"/>
  <c r="AJ7" i="14"/>
  <c r="AH8" i="14"/>
  <c r="AI8" i="14"/>
  <c r="AJ8" i="14"/>
  <c r="AD25" i="14" l="1"/>
  <c r="AE25" i="14"/>
  <c r="AF25" i="14"/>
  <c r="AD21" i="14"/>
  <c r="AE21" i="14"/>
  <c r="AF21" i="14"/>
  <c r="AD22" i="14"/>
  <c r="AE22" i="14"/>
  <c r="AF22" i="14"/>
  <c r="AD23" i="14"/>
  <c r="AE23" i="14"/>
  <c r="AF23" i="14"/>
  <c r="AD13" i="14"/>
  <c r="AE13" i="14"/>
  <c r="AF13" i="14"/>
  <c r="AD15" i="14"/>
  <c r="AE15" i="14"/>
  <c r="AF15" i="14"/>
  <c r="AD17" i="14"/>
  <c r="AE17" i="14"/>
  <c r="AF17" i="14"/>
  <c r="AD10" i="14"/>
  <c r="AE10" i="14"/>
  <c r="AF10" i="14"/>
  <c r="AD5" i="14"/>
  <c r="AE5" i="14"/>
  <c r="AF5" i="14"/>
  <c r="AD6" i="14"/>
  <c r="AE6" i="14"/>
  <c r="AF6" i="14"/>
  <c r="AD7" i="14"/>
  <c r="AE7" i="14"/>
  <c r="AF7" i="14"/>
  <c r="AD8" i="14"/>
  <c r="AE8" i="14"/>
  <c r="AF8" i="14"/>
  <c r="Z25" i="14" l="1"/>
  <c r="AA25" i="14"/>
  <c r="AB25" i="14"/>
  <c r="Z21" i="14"/>
  <c r="AA21" i="14"/>
  <c r="AB21" i="14"/>
  <c r="Z22" i="14"/>
  <c r="AA22" i="14"/>
  <c r="AB22" i="14"/>
  <c r="Z23" i="14"/>
  <c r="AA23" i="14"/>
  <c r="AB23" i="14"/>
  <c r="Z13" i="14"/>
  <c r="AA13" i="14"/>
  <c r="AB13" i="14"/>
  <c r="Z15" i="14"/>
  <c r="AA15" i="14"/>
  <c r="AB15" i="14"/>
  <c r="Z17" i="14"/>
  <c r="AA17" i="14"/>
  <c r="AB17" i="14"/>
  <c r="Z10" i="14"/>
  <c r="AA10" i="14"/>
  <c r="AB10" i="14"/>
  <c r="Z5" i="14"/>
  <c r="AA5" i="14"/>
  <c r="AB5" i="14"/>
  <c r="Z6" i="14"/>
  <c r="AA6" i="14"/>
  <c r="AB6" i="14"/>
  <c r="Z7" i="14"/>
  <c r="AA7" i="14"/>
  <c r="AB7" i="14"/>
  <c r="Z8" i="14"/>
  <c r="AA8" i="14"/>
  <c r="AB8" i="14"/>
  <c r="V25" i="14" l="1"/>
  <c r="W25" i="14"/>
  <c r="X25" i="14"/>
  <c r="V21" i="14"/>
  <c r="W21" i="14"/>
  <c r="X21" i="14"/>
  <c r="V22" i="14"/>
  <c r="W22" i="14"/>
  <c r="X22" i="14"/>
  <c r="V23" i="14"/>
  <c r="W23" i="14"/>
  <c r="X23" i="14"/>
  <c r="V13" i="14"/>
  <c r="W13" i="14"/>
  <c r="X13" i="14"/>
  <c r="V15" i="14"/>
  <c r="W15" i="14"/>
  <c r="X15" i="14"/>
  <c r="V17" i="14"/>
  <c r="W17" i="14"/>
  <c r="X17" i="14"/>
  <c r="V10" i="14"/>
  <c r="W10" i="14"/>
  <c r="X10" i="14"/>
  <c r="V5" i="14"/>
  <c r="W5" i="14"/>
  <c r="X5" i="14"/>
  <c r="V6" i="14"/>
  <c r="W6" i="14"/>
  <c r="X6" i="14"/>
  <c r="V7" i="14"/>
  <c r="W7" i="14"/>
  <c r="X7" i="14"/>
  <c r="V8" i="14"/>
  <c r="W8" i="14"/>
  <c r="X8" i="14"/>
  <c r="U11" i="14" l="1"/>
  <c r="R25" i="14" l="1"/>
  <c r="S25" i="14"/>
  <c r="T25" i="14"/>
  <c r="R21" i="14"/>
  <c r="S21" i="14"/>
  <c r="T21" i="14"/>
  <c r="R22" i="14"/>
  <c r="S22" i="14"/>
  <c r="T22" i="14"/>
  <c r="R23" i="14"/>
  <c r="S23" i="14"/>
  <c r="T23" i="14"/>
  <c r="R13" i="14"/>
  <c r="S13" i="14"/>
  <c r="T13" i="14"/>
  <c r="R15" i="14"/>
  <c r="S15" i="14"/>
  <c r="T15" i="14"/>
  <c r="R17" i="14"/>
  <c r="S17" i="14"/>
  <c r="T17" i="14"/>
  <c r="R10" i="14"/>
  <c r="S10" i="14"/>
  <c r="T10" i="14"/>
  <c r="R5" i="14"/>
  <c r="S5" i="14"/>
  <c r="T5" i="14"/>
  <c r="R6" i="14"/>
  <c r="S6" i="14"/>
  <c r="T6" i="14"/>
  <c r="R7" i="14"/>
  <c r="S7" i="14"/>
  <c r="T7" i="14"/>
  <c r="R8" i="14"/>
  <c r="S8" i="14"/>
  <c r="T8" i="14"/>
  <c r="R36" i="14" l="1"/>
  <c r="R37" i="14" s="1"/>
  <c r="S36" i="14"/>
  <c r="S37" i="14" s="1"/>
  <c r="N25" i="14" l="1"/>
  <c r="O25" i="14"/>
  <c r="P25" i="14"/>
  <c r="N21" i="14"/>
  <c r="O21" i="14"/>
  <c r="P21" i="14"/>
  <c r="N22" i="14"/>
  <c r="O22" i="14"/>
  <c r="P22" i="14"/>
  <c r="N23" i="14"/>
  <c r="O23" i="14"/>
  <c r="P23" i="14"/>
  <c r="N13" i="14"/>
  <c r="O13" i="14"/>
  <c r="P13" i="14"/>
  <c r="N15" i="14"/>
  <c r="O15" i="14"/>
  <c r="P15" i="14"/>
  <c r="N17" i="14"/>
  <c r="O17" i="14"/>
  <c r="P17" i="14"/>
  <c r="N10" i="14"/>
  <c r="O10" i="14"/>
  <c r="P10" i="14"/>
  <c r="N5" i="14"/>
  <c r="O5" i="14"/>
  <c r="P5" i="14"/>
  <c r="N6" i="14"/>
  <c r="O6" i="14"/>
  <c r="P6" i="14"/>
  <c r="N7" i="14"/>
  <c r="O7" i="14"/>
  <c r="P7" i="14"/>
  <c r="N8" i="14"/>
  <c r="O8" i="14"/>
  <c r="P8" i="14"/>
  <c r="K25" i="14" l="1"/>
  <c r="L25" i="14"/>
  <c r="K21" i="14"/>
  <c r="L21" i="14"/>
  <c r="K22" i="14"/>
  <c r="L22" i="14"/>
  <c r="K23" i="14"/>
  <c r="L23" i="14"/>
  <c r="K13" i="14"/>
  <c r="L13" i="14"/>
  <c r="K15" i="14"/>
  <c r="L15" i="14"/>
  <c r="K17" i="14"/>
  <c r="L17" i="14"/>
  <c r="K10" i="14"/>
  <c r="L10" i="14"/>
  <c r="K5" i="14"/>
  <c r="L5" i="14"/>
  <c r="K6" i="14"/>
  <c r="L6" i="14"/>
  <c r="K7" i="14"/>
  <c r="L7" i="14"/>
  <c r="K8" i="14"/>
  <c r="L8" i="14"/>
  <c r="J11" i="14" l="1"/>
  <c r="H25" i="14" l="1"/>
  <c r="I25" i="14"/>
  <c r="H21" i="14"/>
  <c r="I21" i="14"/>
  <c r="H22" i="14"/>
  <c r="I22" i="14"/>
  <c r="H23" i="14"/>
  <c r="I23" i="14"/>
  <c r="H13" i="14"/>
  <c r="I13" i="14"/>
  <c r="H15" i="14"/>
  <c r="I15" i="14"/>
  <c r="H17" i="14"/>
  <c r="I17" i="14"/>
  <c r="H10" i="14"/>
  <c r="I10" i="14"/>
  <c r="H5" i="14"/>
  <c r="I5" i="14"/>
  <c r="H6" i="14"/>
  <c r="I6" i="14"/>
  <c r="H7" i="14"/>
  <c r="I7" i="14"/>
  <c r="H8" i="14"/>
  <c r="I8" i="14"/>
  <c r="D18" i="14" l="1"/>
  <c r="W33" i="12"/>
  <c r="W31" i="12"/>
  <c r="W30" i="12"/>
  <c r="W25" i="12"/>
  <c r="W23" i="12"/>
  <c r="W22" i="12"/>
  <c r="W21" i="12"/>
  <c r="W17" i="12"/>
  <c r="W15" i="12"/>
  <c r="W13" i="12"/>
  <c r="W10" i="12"/>
  <c r="W8" i="12"/>
  <c r="W7" i="12"/>
  <c r="W6" i="12"/>
  <c r="W5" i="12"/>
  <c r="AS34" i="14"/>
  <c r="AO34" i="14"/>
  <c r="AK34" i="14"/>
  <c r="AG34" i="14"/>
  <c r="AC34" i="14"/>
  <c r="Y34" i="14"/>
  <c r="U34" i="14"/>
  <c r="Q34" i="14"/>
  <c r="M34" i="14"/>
  <c r="J34" i="14"/>
  <c r="G34" i="14"/>
  <c r="D34" i="14"/>
  <c r="AO26" i="14"/>
  <c r="AK26" i="14"/>
  <c r="AG26" i="14"/>
  <c r="AC26" i="14"/>
  <c r="Y26" i="14"/>
  <c r="U26" i="14"/>
  <c r="Q26" i="14"/>
  <c r="M26" i="14"/>
  <c r="J26" i="14"/>
  <c r="G26" i="14"/>
  <c r="AO18" i="14"/>
  <c r="AK18" i="14"/>
  <c r="AG18" i="14"/>
  <c r="AC18" i="14"/>
  <c r="Y18" i="14"/>
  <c r="U18" i="14"/>
  <c r="Q18" i="14"/>
  <c r="M18" i="14"/>
  <c r="J18" i="14"/>
  <c r="G18" i="14"/>
  <c r="AO11" i="14"/>
  <c r="AK11" i="14"/>
  <c r="AG11" i="14"/>
  <c r="AC11" i="14"/>
  <c r="Q11" i="14"/>
  <c r="M11" i="14"/>
  <c r="Y11" i="14"/>
  <c r="G11" i="14"/>
  <c r="AS11" i="14"/>
  <c r="AS26" i="14" l="1"/>
  <c r="AS18" i="14"/>
  <c r="D11" i="14"/>
  <c r="AG11" i="13"/>
  <c r="U8" i="13"/>
  <c r="R10" i="13"/>
  <c r="O18" i="13"/>
  <c r="O10" i="13"/>
  <c r="L11" i="13"/>
  <c r="G8" i="13"/>
  <c r="E10" i="13"/>
  <c r="C8" i="13"/>
  <c r="U34" i="13"/>
  <c r="L34" i="13"/>
  <c r="I34" i="13"/>
  <c r="G34" i="13"/>
  <c r="E34" i="13"/>
  <c r="C34" i="13"/>
  <c r="AG26" i="13"/>
  <c r="AD26" i="13"/>
  <c r="AA26" i="13"/>
  <c r="X26" i="13"/>
  <c r="U26" i="13"/>
  <c r="R26" i="13"/>
  <c r="O26" i="13"/>
  <c r="L26" i="13"/>
  <c r="I26" i="13"/>
  <c r="G26" i="13"/>
  <c r="E26" i="13"/>
  <c r="C26" i="13"/>
  <c r="AG18" i="13"/>
  <c r="AD18" i="13"/>
  <c r="AA18" i="13"/>
  <c r="X18" i="13"/>
  <c r="R18" i="13"/>
  <c r="I18" i="13"/>
  <c r="G18" i="13"/>
  <c r="E18" i="13"/>
  <c r="C18" i="13"/>
  <c r="U18" i="13"/>
  <c r="L18" i="13"/>
  <c r="AD11" i="13"/>
  <c r="AA11" i="13"/>
  <c r="X11" i="13"/>
  <c r="U11" i="13"/>
  <c r="R11" i="13"/>
  <c r="O11" i="13"/>
  <c r="I11" i="13"/>
  <c r="G11" i="13"/>
  <c r="E11" i="13"/>
  <c r="C11" i="13"/>
  <c r="AA34" i="13"/>
  <c r="R34" i="13"/>
  <c r="O34" i="13"/>
  <c r="X34" i="13"/>
  <c r="V33" i="12"/>
  <c r="U22" i="12"/>
  <c r="O33" i="11"/>
  <c r="O31" i="11"/>
  <c r="O30" i="11"/>
  <c r="O25" i="11"/>
  <c r="O23" i="11"/>
  <c r="O21" i="11"/>
  <c r="O17" i="11"/>
  <c r="O15" i="11"/>
  <c r="O13" i="11"/>
  <c r="O10" i="11"/>
  <c r="O8" i="11"/>
  <c r="O7" i="11"/>
  <c r="O6" i="11"/>
  <c r="O5" i="11"/>
  <c r="AG34" i="13"/>
  <c r="AD34" i="13"/>
  <c r="T33" i="12"/>
  <c r="S22" i="12"/>
  <c r="R33" i="12"/>
  <c r="Q22" i="12"/>
  <c r="P33" i="12"/>
  <c r="O22" i="12"/>
  <c r="N34" i="12"/>
  <c r="N17" i="12"/>
  <c r="N15" i="12"/>
  <c r="N13" i="12"/>
  <c r="M22" i="12"/>
  <c r="L34" i="12"/>
  <c r="L33" i="12"/>
  <c r="J34" i="12"/>
  <c r="J33" i="12"/>
  <c r="J13" i="12"/>
  <c r="I22" i="12"/>
  <c r="H33" i="12"/>
  <c r="H13" i="12"/>
  <c r="Q33" i="11"/>
  <c r="Q6" i="11"/>
  <c r="Q7" i="11"/>
  <c r="Q8" i="11"/>
  <c r="Q10" i="11"/>
  <c r="Q13" i="11"/>
  <c r="Q15" i="11"/>
  <c r="Q17" i="11"/>
  <c r="Q21" i="11"/>
  <c r="Q23" i="11"/>
  <c r="Q25" i="11"/>
  <c r="Q30" i="11"/>
  <c r="Q31" i="11"/>
  <c r="Q5" i="11"/>
  <c r="D26" i="12"/>
  <c r="V34" i="12"/>
  <c r="T34" i="12"/>
  <c r="R34" i="12"/>
  <c r="P34" i="12"/>
  <c r="H34" i="12"/>
  <c r="F34" i="12"/>
  <c r="E34" i="12"/>
  <c r="D34" i="12"/>
  <c r="C34" i="12"/>
  <c r="V26" i="12"/>
  <c r="T26" i="12"/>
  <c r="R26" i="12"/>
  <c r="P26" i="12"/>
  <c r="N26" i="12"/>
  <c r="L26" i="12"/>
  <c r="J26" i="12"/>
  <c r="H26" i="12"/>
  <c r="F26" i="12"/>
  <c r="E26" i="12"/>
  <c r="C26" i="12"/>
  <c r="V18" i="12"/>
  <c r="T18" i="12"/>
  <c r="R18" i="12"/>
  <c r="P18" i="12"/>
  <c r="N18" i="12"/>
  <c r="L18" i="12"/>
  <c r="J18" i="12"/>
  <c r="H18" i="12"/>
  <c r="F18" i="12"/>
  <c r="E18" i="12"/>
  <c r="D18" i="12"/>
  <c r="C18" i="12"/>
  <c r="V11" i="12"/>
  <c r="T11" i="12"/>
  <c r="R11" i="12"/>
  <c r="P11" i="12"/>
  <c r="N11" i="12"/>
  <c r="L11" i="12"/>
  <c r="J11" i="12"/>
  <c r="H11" i="12"/>
  <c r="F11" i="12"/>
  <c r="E11" i="12"/>
  <c r="D11" i="12"/>
  <c r="C11" i="12"/>
  <c r="N34" i="11"/>
  <c r="M34" i="11"/>
  <c r="L34" i="11"/>
  <c r="K34" i="11"/>
  <c r="J34" i="11"/>
  <c r="I34" i="11"/>
  <c r="H34" i="11"/>
  <c r="G34" i="11"/>
  <c r="F34" i="11"/>
  <c r="E34" i="11"/>
  <c r="D34" i="11"/>
  <c r="C34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I11" i="10"/>
  <c r="J11" i="10"/>
  <c r="K11" i="10"/>
  <c r="L11" i="10"/>
  <c r="M11" i="10"/>
  <c r="N11" i="10"/>
  <c r="H11" i="10"/>
  <c r="G18" i="10"/>
  <c r="G11" i="10"/>
  <c r="F11" i="10"/>
  <c r="E18" i="10"/>
  <c r="E26" i="10"/>
  <c r="E34" i="10"/>
  <c r="N34" i="10"/>
  <c r="M34" i="10"/>
  <c r="L34" i="10"/>
  <c r="K34" i="10"/>
  <c r="J34" i="10"/>
  <c r="I34" i="10"/>
  <c r="H34" i="10"/>
  <c r="G34" i="10"/>
  <c r="F34" i="10"/>
  <c r="D34" i="10"/>
  <c r="C34" i="10"/>
  <c r="E11" i="10"/>
  <c r="D11" i="10"/>
  <c r="N26" i="10"/>
  <c r="M26" i="10"/>
  <c r="L26" i="10"/>
  <c r="K26" i="10"/>
  <c r="J26" i="10"/>
  <c r="I26" i="10"/>
  <c r="H26" i="10"/>
  <c r="G26" i="10"/>
  <c r="F26" i="10"/>
  <c r="D26" i="10"/>
  <c r="C26" i="10"/>
  <c r="N18" i="10"/>
  <c r="M18" i="10"/>
  <c r="L18" i="10"/>
  <c r="K18" i="10"/>
  <c r="J18" i="10"/>
  <c r="I18" i="10"/>
  <c r="H18" i="10"/>
  <c r="F18" i="10"/>
  <c r="D18" i="10"/>
  <c r="C18" i="10"/>
  <c r="C11" i="10"/>
  <c r="N18" i="9"/>
  <c r="M18" i="9"/>
  <c r="K18" i="9"/>
  <c r="L18" i="9"/>
  <c r="L26" i="9"/>
  <c r="N26" i="9"/>
  <c r="M26" i="9"/>
  <c r="K26" i="9"/>
  <c r="J26" i="9"/>
  <c r="I26" i="9"/>
  <c r="H26" i="9"/>
  <c r="G26" i="9"/>
  <c r="F26" i="9"/>
  <c r="E26" i="9"/>
  <c r="D26" i="9"/>
  <c r="C26" i="9"/>
  <c r="K11" i="9"/>
  <c r="E6" i="9"/>
  <c r="F6" i="9"/>
  <c r="J18" i="9"/>
  <c r="J6" i="9"/>
  <c r="I18" i="9"/>
  <c r="I10" i="9"/>
  <c r="I8" i="9"/>
  <c r="I6" i="9"/>
  <c r="H18" i="9"/>
  <c r="H10" i="9"/>
  <c r="H8" i="9"/>
  <c r="H6" i="9"/>
  <c r="G18" i="9"/>
  <c r="G10" i="9"/>
  <c r="G8" i="9"/>
  <c r="G6" i="9"/>
  <c r="F18" i="9"/>
  <c r="F10" i="9"/>
  <c r="F8" i="9"/>
  <c r="E18" i="9"/>
  <c r="E10" i="9"/>
  <c r="E8" i="9"/>
  <c r="D18" i="9"/>
  <c r="D10" i="9"/>
  <c r="D8" i="9"/>
  <c r="D6" i="9"/>
  <c r="C18" i="9"/>
  <c r="G11" i="9"/>
  <c r="C10" i="9"/>
  <c r="C8" i="9"/>
  <c r="C6" i="9"/>
  <c r="J10" i="9"/>
  <c r="J8" i="9"/>
  <c r="J11" i="9"/>
  <c r="I11" i="9"/>
  <c r="N11" i="9"/>
  <c r="M11" i="9"/>
  <c r="L11" i="9"/>
  <c r="H11" i="9"/>
  <c r="F11" i="9"/>
  <c r="E11" i="9"/>
  <c r="D11" i="9"/>
  <c r="C11" i="9"/>
  <c r="N11" i="8"/>
  <c r="M11" i="8"/>
  <c r="L11" i="8"/>
  <c r="K11" i="8"/>
  <c r="K12" i="8"/>
  <c r="J11" i="8"/>
  <c r="I11" i="8"/>
  <c r="I12" i="8"/>
  <c r="H10" i="8"/>
  <c r="H11" i="8"/>
  <c r="G10" i="8"/>
  <c r="G11" i="8"/>
  <c r="F10" i="8"/>
  <c r="F11" i="8"/>
  <c r="E10" i="8"/>
  <c r="D10" i="8"/>
  <c r="E11" i="8"/>
  <c r="D11" i="8"/>
  <c r="D12" i="8"/>
  <c r="C10" i="8"/>
  <c r="C11" i="8"/>
  <c r="C12" i="8"/>
  <c r="J12" i="8"/>
  <c r="H12" i="8"/>
  <c r="G12" i="8"/>
  <c r="F12" i="8"/>
  <c r="E12" i="8"/>
  <c r="N12" i="8"/>
  <c r="M12" i="8"/>
  <c r="L12" i="8"/>
  <c r="N10" i="7"/>
  <c r="N11" i="7"/>
  <c r="N12" i="7"/>
  <c r="M10" i="7"/>
  <c r="M11" i="7"/>
  <c r="L10" i="7"/>
  <c r="M12" i="7"/>
  <c r="L11" i="7"/>
  <c r="L12" i="7"/>
  <c r="K11" i="7"/>
  <c r="K12" i="7"/>
  <c r="J11" i="7"/>
  <c r="J12" i="7"/>
  <c r="I11" i="7"/>
  <c r="I12" i="7"/>
  <c r="H11" i="7"/>
  <c r="H12" i="7"/>
  <c r="G11" i="7"/>
  <c r="G12" i="7"/>
  <c r="F11" i="7"/>
  <c r="F12" i="7"/>
  <c r="E11" i="7"/>
  <c r="E12" i="7"/>
  <c r="D11" i="7"/>
  <c r="D12" i="7"/>
  <c r="C11" i="7"/>
  <c r="C12" i="7"/>
  <c r="N11" i="6"/>
  <c r="N12" i="6"/>
  <c r="M11" i="6"/>
  <c r="M12" i="6"/>
  <c r="L11" i="6"/>
  <c r="L12" i="6"/>
  <c r="K11" i="6"/>
  <c r="K12" i="6"/>
  <c r="J11" i="6"/>
  <c r="J12" i="6"/>
  <c r="I11" i="6"/>
  <c r="I12" i="6"/>
  <c r="H11" i="6"/>
  <c r="H12" i="6"/>
  <c r="G11" i="6"/>
  <c r="G12" i="6"/>
  <c r="F11" i="6"/>
  <c r="F12" i="6"/>
  <c r="E11" i="6"/>
  <c r="E12" i="6"/>
  <c r="D11" i="6"/>
  <c r="D12" i="6"/>
  <c r="C11" i="6"/>
  <c r="C12" i="6"/>
  <c r="I11" i="5"/>
  <c r="J11" i="5"/>
  <c r="K11" i="5"/>
  <c r="L11" i="5"/>
  <c r="M11" i="5"/>
  <c r="N11" i="5"/>
  <c r="G11" i="5"/>
  <c r="F11" i="5"/>
  <c r="E11" i="5"/>
  <c r="D11" i="5"/>
  <c r="C11" i="5"/>
  <c r="C12" i="5"/>
  <c r="N12" i="5"/>
  <c r="M12" i="5"/>
  <c r="L12" i="5"/>
  <c r="K12" i="5"/>
  <c r="J12" i="5"/>
  <c r="I12" i="5"/>
  <c r="H11" i="5"/>
  <c r="H12" i="5"/>
  <c r="G12" i="5"/>
  <c r="F12" i="5"/>
  <c r="E12" i="5"/>
  <c r="D12" i="5"/>
  <c r="D26" i="14" l="1"/>
</calcChain>
</file>

<file path=xl/sharedStrings.xml><?xml version="1.0" encoding="utf-8"?>
<sst xmlns="http://schemas.openxmlformats.org/spreadsheetml/2006/main" count="454" uniqueCount="39">
  <si>
    <t>Наименование ТСО</t>
  </si>
  <si>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</si>
  <si>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</si>
  <si>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</si>
  <si>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</si>
  <si>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</si>
  <si>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</si>
  <si>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</si>
  <si>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</si>
  <si>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</si>
  <si>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</si>
  <si>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</si>
  <si>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</si>
  <si>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</si>
  <si>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ВН</t>
  </si>
  <si>
    <t>СН2</t>
  </si>
  <si>
    <t>НН</t>
  </si>
  <si>
    <t>ИТОГО</t>
  </si>
  <si>
    <t>Прочие потребители, кВтч</t>
  </si>
  <si>
    <t>Информация о фактическом полезном отпуске электрической энергии (мощности) потребителям ООО "РУСЭНЕРГОСБЫТ" в границах Иркутской области в разрезе ТСО за 2013 год</t>
  </si>
  <si>
    <t>Информация о фактическом полезном отпуске электрической энергии (мощности) потребителям ООО "РУСЭНЕРГОСБЫТ" в границах Иркутской области в разрезе ТСО за 2014 год</t>
  </si>
  <si>
    <t>Информация о фактическом полезном отпуске электрической энергии (мощности) потребителям ООО "РУСЭНЕРГОСБЫТ" в границах Иркутской области в разрезе ТСО за 2015 год</t>
  </si>
  <si>
    <t>СН1</t>
  </si>
  <si>
    <t>ОАО "Иркутская электросетевая компания"</t>
  </si>
  <si>
    <t>Население, кВтч</t>
  </si>
  <si>
    <t>Информация о фактическом полезном отпуске электрической энергии (мощности) потребителям ООО "РУСЭНЕРГОСБЫТ" в границах Иркутской области в разрезе ТСО за 2016 год</t>
  </si>
  <si>
    <t>Информация о фактическом полезном отпуске электрической энергии (мощности) потребителям ООО "РУСЭНЕРГОСБЫТ" в границах Иркутской области в разрезе ТСО за 2017 год</t>
  </si>
  <si>
    <t>Красноярская дирекция по энергообеспечению - структурного подразделения "Трансэнерго"- филиала ОАО "РЖД"</t>
  </si>
  <si>
    <t>АО "Братская электросетевая компания"</t>
  </si>
  <si>
    <t>Информация о фактическом полезном отпуске электрической энергии (мощности) потребителям ООО "РУСЭНЕРГОСБЫТ" в границах Иркутской области в разрезе ТСО за 2018 год</t>
  </si>
  <si>
    <t>АО "Оборонэнерго"</t>
  </si>
  <si>
    <t>Информация о фактическом полезном отпуске электрической энергии (мощности) потребителям ООО "РУСЭНЕРГОСБЫТ" в границах Иркутской области в разрезе ТСО за 2019 год</t>
  </si>
  <si>
    <t>Информация о фактическом полезном отпуске электрической энергии (мощности) потребителям ООО "РУСЭНЕРГОСБЫТ" в границах Иркутской области в разрезе ТСО за 2020 год</t>
  </si>
  <si>
    <t>Филиал "Забайкальский" АО "Оборонэнерго"</t>
  </si>
  <si>
    <t>Красноярская дирекция по энергообеспечению - структурное подразделение "Трансэнерго"- филиала ОАО "РЖД"</t>
  </si>
  <si>
    <t>Информация о фактическом полезном отпуске электрической энергии (мощности) потребителям ООО "РУСЭНЕРГОСБЫТ" в границах Иркутской области в разрезе ТСО за 2021 год</t>
  </si>
  <si>
    <t>Информация о фактическом полезном отпуске электрической энергии (мощности) потребителям ООО "РУСЭНЕРГОСБЫТ" в границах Иркутской области в разрезе ТСО за 2022 год</t>
  </si>
  <si>
    <t>Информация о фактическом полезном отпуске электрической энергии (мощности) потребителям ООО "РУСЭНЕРГОСБЫТ" в границах Иркутской области в разрезе ТСО за 2023 год</t>
  </si>
  <si>
    <t>Информация о фактическом полезном отпуске электрической энергии (мощности) потребителям ООО "РУСЭНЕРГОСБЫТ" в границах Иркутской области в разрезе ТСО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</si>
</sst>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0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name val="Arial"/>
      <family val="2"/>
      <charset val="204"/>
    </font>
    <font>
      <sz val="10"/>
      <name val="Arial Cyr"/>
      <charset val="204"/>
    </font>
    <font>
      <sz val="9"/>
      <color rgb="FFFF000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/>
      <bottom/>
      <diagonal/>
    </border>
  </borders>
  <cellStyleXfs count="61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22" fillId="0" borderId="0">
      <protection locked="0"/>
    </xf>
    <xf numFmtId="0" fontId="22" fillId="0" borderId="9">
      <protection locked="0"/>
    </xf>
    <xf numFmtId="0" fontId="22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7" borderId="10" applyNumberFormat="0" applyAlignment="0" applyProtection="0"/>
    <xf numFmtId="0" fontId="8" fillId="20" borderId="11" applyNumberFormat="0" applyAlignment="0" applyProtection="0"/>
    <xf numFmtId="0" fontId="9" fillId="20" borderId="10" applyNumberFormat="0" applyAlignment="0" applyProtection="0"/>
    <xf numFmtId="0" fontId="10" fillId="0" borderId="12" applyNumberFormat="0" applyFill="0" applyAlignment="0" applyProtection="0"/>
    <xf numFmtId="0" fontId="11" fillId="0" borderId="13" applyNumberFormat="0" applyFill="0" applyAlignment="0" applyProtection="0"/>
    <xf numFmtId="0" fontId="12" fillId="0" borderId="14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15" applyNumberFormat="0" applyFill="0" applyAlignment="0" applyProtection="0"/>
    <xf numFmtId="0" fontId="14" fillId="21" borderId="16" applyNumberFormat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5" fillId="0" borderId="0"/>
    <xf numFmtId="0" fontId="24" fillId="0" borderId="0"/>
    <xf numFmtId="0" fontId="25" fillId="0" borderId="0"/>
    <xf numFmtId="0" fontId="25" fillId="0" borderId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5" fillId="23" borderId="17" applyNumberFormat="0" applyFont="0" applyAlignment="0" applyProtection="0"/>
    <xf numFmtId="0" fontId="19" fillId="0" borderId="18" applyNumberFormat="0" applyFill="0" applyAlignment="0" applyProtection="0"/>
    <xf numFmtId="0" fontId="20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1" fillId="4" borderId="0" applyNumberFormat="0" applyBorder="0" applyAlignment="0" applyProtection="0"/>
    <xf numFmtId="0" fontId="5" fillId="23" borderId="17" applyNumberFormat="0" applyFont="0" applyAlignment="0" applyProtection="0"/>
    <xf numFmtId="0" fontId="25" fillId="0" borderId="0"/>
    <xf numFmtId="0" fontId="5" fillId="0" borderId="0"/>
  </cellStyleXfs>
  <cellXfs count="58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2" fillId="0" borderId="0" xfId="0" applyNumberFormat="1" applyFont="1"/>
    <xf numFmtId="0" fontId="2" fillId="0" borderId="0" xfId="0" applyFont="1" applyBorder="1"/>
    <xf numFmtId="165" fontId="26" fillId="0" borderId="0" xfId="2" applyNumberFormat="1" applyFont="1" applyFill="1" applyBorder="1" applyAlignment="1">
      <alignment horizontal="center"/>
    </xf>
    <xf numFmtId="165" fontId="26" fillId="0" borderId="0" xfId="45" applyNumberFormat="1" applyFont="1" applyFill="1" applyBorder="1" applyAlignment="1">
      <alignment horizontal="center"/>
    </xf>
    <xf numFmtId="3" fontId="2" fillId="0" borderId="0" xfId="0" applyNumberFormat="1" applyFont="1" applyBorder="1"/>
    <xf numFmtId="3" fontId="4" fillId="0" borderId="3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3" xfId="0" applyNumberFormat="1" applyFont="1" applyBorder="1"/>
    <xf numFmtId="3" fontId="3" fillId="0" borderId="3" xfId="0" applyNumberFormat="1" applyFont="1" applyBorder="1"/>
    <xf numFmtId="3" fontId="3" fillId="0" borderId="3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vertical="center" wrapText="1"/>
    </xf>
    <xf numFmtId="3" fontId="2" fillId="0" borderId="3" xfId="0" applyNumberFormat="1" applyFont="1" applyBorder="1" applyAlignment="1">
      <alignment horizontal="center" vertical="center"/>
    </xf>
    <xf numFmtId="3" fontId="27" fillId="0" borderId="0" xfId="0" applyNumberFormat="1" applyFont="1"/>
    <xf numFmtId="0" fontId="27" fillId="0" borderId="0" xfId="0" applyFont="1"/>
    <xf numFmtId="0" fontId="4" fillId="24" borderId="0" xfId="0" applyFont="1" applyFill="1"/>
    <xf numFmtId="0" fontId="0" fillId="24" borderId="0" xfId="0" applyFill="1"/>
    <xf numFmtId="0" fontId="3" fillId="24" borderId="2" xfId="0" applyFont="1" applyFill="1" applyBorder="1" applyAlignment="1">
      <alignment horizontal="center" vertical="center" wrapText="1"/>
    </xf>
    <xf numFmtId="0" fontId="3" fillId="24" borderId="3" xfId="0" applyFont="1" applyFill="1" applyBorder="1" applyAlignment="1">
      <alignment horizontal="center" vertical="center" wrapText="1"/>
    </xf>
    <xf numFmtId="164" fontId="3" fillId="24" borderId="3" xfId="1" applyFont="1" applyFill="1" applyBorder="1" applyAlignment="1">
      <alignment horizontal="center" vertical="center"/>
    </xf>
    <xf numFmtId="3" fontId="4" fillId="24" borderId="3" xfId="0" applyNumberFormat="1" applyFont="1" applyFill="1" applyBorder="1" applyAlignment="1">
      <alignment horizontal="center" vertical="center" wrapText="1"/>
    </xf>
    <xf numFmtId="3" fontId="4" fillId="24" borderId="3" xfId="0" applyNumberFormat="1" applyFont="1" applyFill="1" applyBorder="1" applyAlignment="1">
      <alignment horizontal="center" vertical="center"/>
    </xf>
    <xf numFmtId="3" fontId="4" fillId="24" borderId="3" xfId="0" applyNumberFormat="1" applyFont="1" applyFill="1" applyBorder="1"/>
    <xf numFmtId="3" fontId="3" fillId="24" borderId="3" xfId="0" applyNumberFormat="1" applyFont="1" applyFill="1" applyBorder="1"/>
    <xf numFmtId="3" fontId="3" fillId="24" borderId="3" xfId="0" applyNumberFormat="1" applyFont="1" applyFill="1" applyBorder="1" applyAlignment="1">
      <alignment horizontal="center" vertical="center"/>
    </xf>
    <xf numFmtId="3" fontId="4" fillId="24" borderId="6" xfId="0" applyNumberFormat="1" applyFont="1" applyFill="1" applyBorder="1" applyAlignment="1">
      <alignment horizontal="center" vertical="center" wrapText="1"/>
    </xf>
    <xf numFmtId="3" fontId="2" fillId="24" borderId="3" xfId="0" applyNumberFormat="1" applyFont="1" applyFill="1" applyBorder="1" applyAlignment="1">
      <alignment horizontal="center" vertical="center"/>
    </xf>
    <xf numFmtId="0" fontId="27" fillId="24" borderId="0" xfId="0" applyFont="1" applyFill="1"/>
    <xf numFmtId="3" fontId="0" fillId="24" borderId="0" xfId="0" applyNumberFormat="1" applyFill="1"/>
    <xf numFmtId="3" fontId="3" fillId="24" borderId="6" xfId="0" applyNumberFormat="1" applyFont="1" applyFill="1" applyBorder="1" applyAlignment="1">
      <alignment horizontal="center"/>
    </xf>
    <xf numFmtId="0" fontId="0" fillId="24" borderId="19" xfId="0" applyFill="1" applyBorder="1"/>
    <xf numFmtId="3" fontId="28" fillId="24" borderId="19" xfId="0" applyNumberFormat="1" applyFont="1" applyFill="1" applyBorder="1" applyAlignment="1">
      <alignment horizontal="center" vertical="center"/>
    </xf>
    <xf numFmtId="0" fontId="27" fillId="24" borderId="19" xfId="0" applyFont="1" applyFill="1" applyBorder="1"/>
    <xf numFmtId="0" fontId="3" fillId="0" borderId="1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4" fillId="24" borderId="2" xfId="0" applyNumberFormat="1" applyFont="1" applyFill="1" applyBorder="1" applyAlignment="1">
      <alignment horizontal="center" vertical="center" wrapText="1"/>
    </xf>
    <xf numFmtId="3" fontId="4" fillId="24" borderId="7" xfId="0" applyNumberFormat="1" applyFont="1" applyFill="1" applyBorder="1" applyAlignment="1">
      <alignment horizontal="center" vertical="center" wrapText="1"/>
    </xf>
    <xf numFmtId="3" fontId="4" fillId="24" borderId="8" xfId="0" applyNumberFormat="1" applyFont="1" applyFill="1" applyBorder="1" applyAlignment="1">
      <alignment horizontal="center" vertical="center" wrapText="1"/>
    </xf>
    <xf numFmtId="3" fontId="4" fillId="24" borderId="4" xfId="0" applyNumberFormat="1" applyFont="1" applyFill="1" applyBorder="1" applyAlignment="1">
      <alignment horizontal="center" vertical="center"/>
    </xf>
    <xf numFmtId="3" fontId="4" fillId="24" borderId="5" xfId="0" applyNumberFormat="1" applyFont="1" applyFill="1" applyBorder="1" applyAlignment="1">
      <alignment horizontal="center" vertical="center"/>
    </xf>
    <xf numFmtId="3" fontId="4" fillId="24" borderId="6" xfId="0" applyNumberFormat="1" applyFont="1" applyFill="1" applyBorder="1" applyAlignment="1">
      <alignment horizontal="center" vertical="center"/>
    </xf>
    <xf numFmtId="3" fontId="3" fillId="24" borderId="4" xfId="0" applyNumberFormat="1" applyFont="1" applyFill="1" applyBorder="1" applyAlignment="1">
      <alignment horizontal="center"/>
    </xf>
    <xf numFmtId="3" fontId="3" fillId="24" borderId="6" xfId="0" applyNumberFormat="1" applyFont="1" applyFill="1" applyBorder="1" applyAlignment="1">
      <alignment horizontal="center"/>
    </xf>
    <xf numFmtId="0" fontId="3" fillId="24" borderId="1" xfId="0" applyFont="1" applyFill="1" applyBorder="1" applyAlignment="1">
      <alignment horizontal="center" vertical="center" wrapText="1"/>
    </xf>
  </cellXfs>
  <cellStyles count="61">
    <cellStyle name="" xfId="3"/>
    <cellStyle name="" xfId="4"/>
    <cellStyle name="" xfId="5"/>
    <cellStyle name="" xfId="6"/>
    <cellStyle name="" xfId="7"/>
    <cellStyle name="1" xfId="8"/>
    <cellStyle name="2" xfId="9"/>
    <cellStyle name="20% - Акцент1 2" xfId="10"/>
    <cellStyle name="20% - Акцент2 2" xfId="11"/>
    <cellStyle name="20% - Акцент3 2" xfId="12"/>
    <cellStyle name="20% - Акцент4 2" xfId="13"/>
    <cellStyle name="20% - Акцент5 2" xfId="14"/>
    <cellStyle name="20% - Акцент6 2" xfId="15"/>
    <cellStyle name="40% - Акцент1 2" xfId="16"/>
    <cellStyle name="40% - Акцент2 2" xfId="17"/>
    <cellStyle name="40% - Акцент3 2" xfId="18"/>
    <cellStyle name="40% - Акцент4 2" xfId="19"/>
    <cellStyle name="40% - Акцент5 2" xfId="20"/>
    <cellStyle name="40% - Акцент6 2" xfId="21"/>
    <cellStyle name="60% - Акцент1 2" xfId="22"/>
    <cellStyle name="60% - Акцент2 2" xfId="23"/>
    <cellStyle name="60% - Акцент3 2" xfId="24"/>
    <cellStyle name="60% - Акцент4 2" xfId="25"/>
    <cellStyle name="60% - Акцент5 2" xfId="26"/>
    <cellStyle name="60% - Акцент6 2" xfId="27"/>
    <cellStyle name="Акцент1 2" xfId="28"/>
    <cellStyle name="Акцент2 2" xfId="29"/>
    <cellStyle name="Акцент3 2" xfId="30"/>
    <cellStyle name="Акцент4 2" xfId="31"/>
    <cellStyle name="Акцент5 2" xfId="32"/>
    <cellStyle name="Акцент6 2" xfId="33"/>
    <cellStyle name="Ввод  2" xfId="34"/>
    <cellStyle name="Вывод 2" xfId="35"/>
    <cellStyle name="Вычисление 2" xfId="36"/>
    <cellStyle name="Заголовок 1 2" xfId="37"/>
    <cellStyle name="Заголовок 2 2" xfId="38"/>
    <cellStyle name="Заголовок 3 2" xfId="39"/>
    <cellStyle name="Заголовок 4 2" xfId="40"/>
    <cellStyle name="Итог 2" xfId="41"/>
    <cellStyle name="Контрольная ячейка 2" xfId="42"/>
    <cellStyle name="Название 2" xfId="43"/>
    <cellStyle name="Нейтральный 2" xfId="44"/>
    <cellStyle name="Обычный" xfId="0" builtinId="0"/>
    <cellStyle name="Обычный 14" xfId="45"/>
    <cellStyle name="Обычный 2" xfId="46"/>
    <cellStyle name="Обычный 2 2 2" xfId="47"/>
    <cellStyle name="Обычный 3" xfId="2"/>
    <cellStyle name="Обычный 44" xfId="48"/>
    <cellStyle name="Плохой 2" xfId="49"/>
    <cellStyle name="Пояснение 2" xfId="50"/>
    <cellStyle name="Примечание 2" xfId="51"/>
    <cellStyle name="Связанная ячейка 2" xfId="52"/>
    <cellStyle name="Текст предупреждения 2" xfId="53"/>
    <cellStyle name="Финансовый" xfId="1" builtinId="3"/>
    <cellStyle name="Финансовый 2" xfId="55"/>
    <cellStyle name="Финансовый 23" xfId="56"/>
    <cellStyle name="Финансовый 3" xfId="54"/>
    <cellStyle name="Хороший 2" xfId="57"/>
    <cellStyle name="㼿㼿?" xfId="58"/>
    <cellStyle name="㼿㼿㼿" xfId="59"/>
    <cellStyle name="㼿㼿㼿?" xfId="60"/>
  </cellStyles>
  <dxfs count="0"/>
  <tableStyles count="0" defaultTableStyle="TableStyleMedium2" defaultPivotStyle="PivotStyleLight16"/>
  <colors>
    <mruColors>
      <color rgb="FF00FF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2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34" Type="http://schemas.openxmlformats.org/officeDocument/2006/relationships/externalLink" Target="externalLinks/externalLink22.xml"/><Relationship Id="rId42" Type="http://schemas.openxmlformats.org/officeDocument/2006/relationships/externalLink" Target="externalLinks/externalLink3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externalLink" Target="externalLinks/externalLink26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25.xml"/><Relationship Id="rId40" Type="http://schemas.openxmlformats.org/officeDocument/2006/relationships/externalLink" Target="externalLinks/externalLink28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Relationship Id="rId43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1/&#1048;&#1088;&#1082;&#1091;&#1090;&#1089;&#1082;/06/06_%20&#1076;&#1083;&#1103;%20&#1088;&#1072;&#1089;&#1095;&#1105;&#1090;&#1086;&#1074;%20&#1089;%20&#1048;&#1069;&#1057;&#1050;%20-%2020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48;&#1088;&#1082;&#1091;&#1090;&#1089;&#1082;/09/&#1086;&#1090;%20&#1042;&#1057;&#1060;/&#1076;&#1083;&#1103;%20&#1088;&#1072;&#1089;&#1095;&#1077;&#1090;&#1086;&#1074;%20&#1089;%20&#1048;&#1069;&#1057;&#1050;%20-%20202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48;&#1088;&#1082;&#1091;&#1090;&#1089;&#1082;/10/&#1086;&#1090;%20&#1042;&#1057;&#1060;/&#1076;&#1083;&#1103;%20&#1088;&#1072;&#1089;&#1095;&#1077;&#1090;&#1086;&#1074;%20&#1089;%20&#1048;&#1069;&#1057;&#1050;%20-%20202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48;&#1088;&#1082;&#1091;&#1090;&#1089;&#1082;/11/&#1086;&#1090;%20&#1042;&#1057;&#1060;/&#1076;&#1083;&#1103;%20&#1088;&#1072;&#1089;&#1095;&#1077;&#1090;&#1086;&#1074;%20&#1089;%20&#1048;&#1069;&#1057;&#1050;%20-%20202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48;&#1088;&#1082;&#1091;&#1090;&#1089;&#1082;/02/&#1086;&#1090;%20&#1042;&#1057;&#1060;/&#1086;&#1090;&#1095;&#1077;&#1090;&#1099;/&#1060;&#1086;&#1088;&#1084;&#1072;%20127_2022&#1075;%20(&#1086;&#1090;&#1087;&#1088;%20&#1048;&#1074;&#1072;&#1085;&#1086;&#1074;&#1086;&#1081;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48;&#1088;&#1082;&#1091;&#1090;&#1089;&#1082;/03/&#1086;&#1090;%20&#1042;&#1057;&#1060;/&#1086;&#1090;&#1095;&#1077;&#1090;&#1099;/&#1060;&#1086;&#1088;&#1084;&#1072;%20127_2022&#1075;%20(&#1086;&#1090;&#1087;&#1088;%20&#1048;&#1074;&#1072;&#1085;&#1086;&#1074;&#1086;&#1081;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48;&#1088;&#1082;&#1091;&#1090;&#1089;&#1082;/04/&#1086;&#1090;%20&#1042;&#1057;&#1060;/&#1086;&#1090;&#1095;&#1077;&#1090;&#1099;/&#1060;&#1086;&#1088;&#1084;&#1072;%20127_2022&#1075;%20(&#1086;&#1090;&#1087;&#1088;%20&#1048;&#1074;&#1072;&#1085;&#1086;&#1074;&#1086;&#1081;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48;&#1088;&#1082;&#1091;&#1090;&#1089;&#1082;/05/&#1086;&#1090;%20&#1042;&#1057;&#1060;/&#1086;&#1090;&#1095;&#1077;&#1090;&#1099;/&#1060;&#1086;&#1088;&#1084;&#1072;%20127_2022&#1075;%20(&#1086;&#1090;&#1087;&#1088;%20&#1048;&#1074;&#1072;&#1085;&#1086;&#1074;&#1086;&#1081;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48;&#1088;&#1082;&#1091;&#1090;&#1089;&#1082;/06/&#1086;&#1090;%20&#1042;&#1057;&#1060;/&#1086;&#1090;&#1095;&#1077;&#1090;&#1099;/&#1060;&#1086;&#1088;&#1084;&#1072;%20127_2022&#1075;%20(&#1086;&#1090;&#1087;&#1088;%20&#1048;&#1074;&#1072;&#1085;&#1086;&#1074;&#1086;&#1081;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48;&#1088;&#1082;&#1091;&#1090;&#1089;&#1082;/07/&#1086;&#1090;%20&#1042;&#1057;&#1060;/&#1086;&#1090;&#1095;&#1077;&#1090;&#1099;/&#1060;&#1086;&#1088;&#1084;&#1072;%20127_2022&#1075;%20(&#1086;&#1090;&#1087;&#1088;%20&#1048;&#1074;&#1072;&#1085;&#1086;&#1074;&#1086;&#1081;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48;&#1088;&#1082;&#1091;&#1090;&#1089;&#1082;/08/&#1086;&#1090;%20&#1042;&#1057;&#1060;/&#1086;&#1090;&#1095;&#1077;&#1090;&#1099;/&#1060;&#1086;&#1088;&#1084;&#1072;%20127_2022&#1075;%20(&#1086;&#1090;&#1087;&#1088;%20&#1048;&#1074;&#1072;&#1085;&#1086;&#1074;&#1086;&#1081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1/&#1048;&#1088;&#1082;&#1091;&#1090;&#1089;&#1082;/07/07_%20&#1076;&#1083;&#1103;%20&#1088;&#1072;&#1089;&#1095;&#1105;&#1090;&#1086;&#1074;%20&#1089;%20&#1048;&#1069;&#1057;&#1050;%20-%202021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48;&#1088;&#1082;&#1091;&#1090;&#1089;&#1082;/09/&#1086;&#1090;%20&#1042;&#1057;&#1060;/&#1086;&#1090;&#1095;&#1077;&#1090;&#1099;/&#1060;&#1086;&#1088;&#1084;&#1072;%20127_2022&#1075;%20(&#1086;&#1090;&#1087;&#1088;%20&#1048;&#1074;&#1072;&#1085;&#1086;&#1074;&#1086;&#1081;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48;&#1088;&#1082;&#1091;&#1090;&#1089;&#1082;/10/&#1086;&#1090;%20&#1042;&#1057;&#1060;/&#1086;&#1090;&#1095;&#1077;&#1090;&#1099;/&#1060;&#1086;&#1088;&#1084;&#1072;%20127_2022&#1075;%20(&#1086;&#1090;&#1087;&#1088;%20&#1048;&#1074;&#1072;&#1085;&#1086;&#1074;&#1086;&#1081;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48;&#1088;&#1082;&#1091;&#1090;&#1089;&#1082;/11/&#1086;&#1090;%20&#1042;&#1057;&#1060;/&#1086;&#1090;&#1095;&#1077;&#1090;&#1099;/&#1060;&#1086;&#1088;&#1084;&#1072;%20127_2022&#1075;%20(&#1086;&#1090;&#1087;&#1088;%20&#1048;&#1074;&#1072;&#1085;&#1086;&#1074;&#1086;&#1081;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3/&#1048;&#1088;&#1082;&#1091;&#1090;&#1089;&#1082;/08/&#1086;&#1090;%20&#1042;&#1057;&#1060;/&#1076;&#1083;&#1103;%20&#1088;&#1072;&#1089;&#1095;&#1077;&#1090;&#1086;&#1074;%20&#1089;%20&#1048;&#1069;&#1057;&#1050;%20-%20202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3/&#1048;&#1088;&#1082;&#1091;&#1090;&#1089;&#1082;/08/&#1086;&#1090;%20&#1042;&#1057;&#1060;/&#1086;&#1090;&#1095;&#1077;&#1090;&#1099;/&#1060;&#1086;&#1088;&#1084;&#1072;%20127_2023&#1075;%20(&#1086;&#1090;&#1087;&#1088;%20&#1048;&#1074;&#1072;&#1085;&#1086;&#1074;&#1086;&#1081;)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4/&#1048;&#1088;&#1082;&#1091;&#1090;&#1089;&#1082;/04/&#1076;&#1083;&#1103;%20&#1088;&#1072;&#1089;&#1095;&#1077;&#1090;&#1086;&#1074;%20&#1089;%20&#1048;&#1069;&#1057;&#1050;%20-%20202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4/&#1048;&#1088;&#1082;&#1091;&#1090;&#1089;&#1082;/07/&#1076;&#1083;&#1103;%20&#1088;&#1072;&#1089;&#1095;&#1077;&#1090;&#1086;&#1074;%20&#1089;%20&#1048;&#1069;&#1057;&#1050;%20-%202024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4/&#1048;&#1088;&#1082;&#1091;&#1090;&#1089;&#1082;/02/&#1076;&#1083;&#1103;%20&#1088;&#1072;&#1089;&#1095;&#1077;&#1090;&#1086;&#1074;%20&#1089;%20&#1048;&#1069;&#1057;&#1050;%20-%20202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4/&#1048;&#1088;&#1082;&#1091;&#1090;&#1089;&#1082;/03/&#1076;&#1083;&#1103;%20&#1088;&#1072;&#1089;&#1095;&#1077;&#1090;&#1086;&#1074;%20&#1089;%20&#1048;&#1069;&#1057;&#1050;%20-%202024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4/&#1048;&#1088;&#1082;&#1091;&#1090;&#1089;&#1082;/05/&#1076;&#1083;&#1103;%20&#1088;&#1072;&#1089;&#1095;&#1077;&#1090;&#1086;&#1074;%20&#1089;%20&#1048;&#1069;&#1057;&#1050;%20-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48;&#1088;&#1082;&#1091;&#1090;&#1089;&#1082;/02/&#1086;&#1090;%20&#1042;&#1057;&#1060;/&#1076;&#1083;&#1103;%20&#1088;&#1072;&#1089;&#1095;&#1077;&#1090;&#1086;&#1074;%20&#1089;%20&#1048;&#1069;&#1057;&#1050;%20-%202022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4/&#1048;&#1088;&#1082;&#1091;&#1090;&#1089;&#1082;/12/&#1076;&#1083;&#1103;%20&#1088;&#1072;&#1089;&#1095;&#1077;&#1090;&#1086;&#1074;%20&#1089;%20&#1048;&#1069;&#1057;&#1050;%20-%20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48;&#1088;&#1082;&#1091;&#1090;&#1089;&#1082;/03/&#1086;&#1090;%20&#1042;&#1057;&#1060;/&#1076;&#1083;&#1103;%20&#1088;&#1072;&#1089;&#1095;&#1077;&#1090;&#1086;&#1074;%20&#1089;%20&#1048;&#1069;&#1057;&#1050;%20-%20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48;&#1088;&#1082;&#1091;&#1090;&#1089;&#1082;/04/&#1086;&#1090;%20&#1042;&#1057;&#1060;/&#1088;&#1072;&#1089;&#1095;&#1105;&#1090;%20&#1048;&#1069;&#1057;&#1050;%20&#1079;&#1072;%20&#1072;&#1087;&#1088;&#1077;&#1083;&#110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48;&#1088;&#1082;&#1091;&#1090;&#1089;&#1082;/05/&#1086;&#1090;%20&#1042;&#1057;&#1060;/&#1076;&#1083;&#1103;%20&#1088;&#1072;&#1089;&#1095;&#1077;&#1090;&#1086;&#1074;%20&#1089;%20&#1048;&#1069;&#1057;&#1050;%20-%20202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48;&#1088;&#1082;&#1091;&#1090;&#1089;&#1082;/06/&#1086;&#1090;%20&#1042;&#1057;&#1060;/&#1076;&#1083;&#1103;%20&#1088;&#1072;&#1089;&#1095;&#1077;&#1090;&#1086;&#1074;%20&#1089;%20&#1048;&#1069;&#1057;&#1050;%20-%20202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48;&#1088;&#1082;&#1091;&#1090;&#1089;&#1082;/07/&#1086;&#1090;%20&#1042;&#1057;&#1060;/&#1076;&#1083;&#1103;%20&#1088;&#1072;&#1089;&#1095;&#1077;&#1090;&#1086;&#1074;%20&#1089;%20&#1048;&#1069;&#1057;&#1050;%20-%20202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077;&#1090;&#1099;%202022/&#1048;&#1088;&#1082;&#1091;&#1090;&#1089;&#1082;/08/&#1086;&#1090;%20&#1042;&#1057;&#1060;/&#1076;&#1083;&#1103;%20&#1088;&#1072;&#1089;&#1095;&#1077;&#1090;&#1086;&#1074;%20&#1089;%20&#1048;&#1069;&#1057;&#1050;%20-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</sheetNames>
    <sheetDataSet>
      <sheetData sheetId="0"/>
      <sheetData sheetId="1"/>
      <sheetData sheetId="2"/>
      <sheetData sheetId="3"/>
      <sheetData sheetId="4"/>
      <sheetData sheetId="5">
        <row r="27">
          <cell r="G27">
            <v>5032815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апрель (испр)"/>
      <sheetName val="май"/>
      <sheetName val="июнь"/>
      <sheetName val="июль"/>
      <sheetName val="август"/>
      <sheetName val="сентяб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7">
          <cell r="G27">
            <v>5690082</v>
          </cell>
        </row>
        <row r="28">
          <cell r="G28">
            <v>251463463</v>
          </cell>
        </row>
        <row r="29">
          <cell r="G29">
            <v>1847136</v>
          </cell>
        </row>
        <row r="30">
          <cell r="G30">
            <v>4790021.5</v>
          </cell>
        </row>
        <row r="31">
          <cell r="G31">
            <v>620473</v>
          </cell>
        </row>
        <row r="37">
          <cell r="G37">
            <v>103963</v>
          </cell>
        </row>
        <row r="39">
          <cell r="G39">
            <v>143303</v>
          </cell>
        </row>
        <row r="41">
          <cell r="G41">
            <v>1798</v>
          </cell>
        </row>
        <row r="57">
          <cell r="G57">
            <v>8433</v>
          </cell>
        </row>
        <row r="58">
          <cell r="G58">
            <v>264280.5</v>
          </cell>
        </row>
        <row r="59">
          <cell r="G59">
            <v>100872</v>
          </cell>
        </row>
        <row r="60">
          <cell r="G60">
            <v>186457</v>
          </cell>
        </row>
        <row r="61">
          <cell r="G61">
            <v>386741.99999999994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апрель (испр)"/>
      <sheetName val="май"/>
      <sheetName val="июнь"/>
      <sheetName val="июль"/>
      <sheetName val="август"/>
      <sheetName val="сентябрь"/>
      <sheetName val="октяб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7">
          <cell r="G27">
            <v>5929391</v>
          </cell>
        </row>
        <row r="28">
          <cell r="G28">
            <v>279628235</v>
          </cell>
        </row>
        <row r="29">
          <cell r="G29">
            <v>2687712</v>
          </cell>
        </row>
        <row r="30">
          <cell r="G30">
            <v>6364833.0999999996</v>
          </cell>
        </row>
        <row r="31">
          <cell r="G31">
            <v>714814</v>
          </cell>
        </row>
        <row r="37">
          <cell r="G37">
            <v>230462</v>
          </cell>
        </row>
        <row r="39">
          <cell r="G39">
            <v>196986</v>
          </cell>
        </row>
        <row r="41">
          <cell r="G41">
            <v>1727</v>
          </cell>
        </row>
        <row r="57">
          <cell r="G57">
            <v>5685</v>
          </cell>
        </row>
        <row r="58">
          <cell r="G58">
            <v>319725.90000000002</v>
          </cell>
        </row>
        <row r="59">
          <cell r="G59">
            <v>141259</v>
          </cell>
        </row>
        <row r="60">
          <cell r="G60">
            <v>156529</v>
          </cell>
        </row>
        <row r="61">
          <cell r="G61">
            <v>571366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апрель (испр)"/>
      <sheetName val="май"/>
      <sheetName val="июнь"/>
      <sheetName val="июль"/>
      <sheetName val="август"/>
      <sheetName val="сентябрь"/>
      <sheetName val="октябрь"/>
      <sheetName val="нояб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7">
          <cell r="G27">
            <v>6847845</v>
          </cell>
        </row>
        <row r="28">
          <cell r="G28">
            <v>278278963</v>
          </cell>
        </row>
        <row r="29">
          <cell r="G29">
            <v>2973075</v>
          </cell>
        </row>
        <row r="30">
          <cell r="G30">
            <v>7821365.4000000004</v>
          </cell>
        </row>
        <row r="31">
          <cell r="G31">
            <v>871094</v>
          </cell>
        </row>
        <row r="37">
          <cell r="G37">
            <v>205371</v>
          </cell>
        </row>
        <row r="39">
          <cell r="G39">
            <v>241483</v>
          </cell>
        </row>
        <row r="41">
          <cell r="G41">
            <v>1622</v>
          </cell>
        </row>
        <row r="57">
          <cell r="G57">
            <v>13513</v>
          </cell>
        </row>
        <row r="58">
          <cell r="G58">
            <v>417877.6</v>
          </cell>
        </row>
        <row r="59">
          <cell r="G59">
            <v>172898</v>
          </cell>
        </row>
        <row r="60">
          <cell r="G60">
            <v>198487</v>
          </cell>
        </row>
        <row r="61">
          <cell r="G61">
            <v>731259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 22"/>
      <sheetName val="Февраль 22"/>
      <sheetName val="Лист2"/>
      <sheetName val="Лист3"/>
    </sheetNames>
    <sheetDataSet>
      <sheetData sheetId="0"/>
      <sheetData sheetId="1">
        <row r="12">
          <cell r="B12">
            <v>1.0720000000000001</v>
          </cell>
        </row>
        <row r="14">
          <cell r="B14">
            <v>4.5030000000000001</v>
          </cell>
          <cell r="D14">
            <v>22.853000000000002</v>
          </cell>
        </row>
      </sheetData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 22"/>
      <sheetName val="Февраль 22"/>
      <sheetName val="Март 22"/>
      <sheetName val="Лист2"/>
      <sheetName val="Лист3"/>
    </sheetNames>
    <sheetDataSet>
      <sheetData sheetId="0"/>
      <sheetData sheetId="1"/>
      <sheetData sheetId="2">
        <row r="12">
          <cell r="B12">
            <v>6.2E-2</v>
          </cell>
        </row>
        <row r="14">
          <cell r="B14">
            <v>3.5979999999999999</v>
          </cell>
          <cell r="D14">
            <v>20.343</v>
          </cell>
        </row>
      </sheetData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 22"/>
      <sheetName val="Февраль 22"/>
      <sheetName val="Март 22"/>
      <sheetName val="Апрель 22"/>
      <sheetName val="Лист2"/>
      <sheetName val="Лист3"/>
    </sheetNames>
    <sheetDataSet>
      <sheetData sheetId="0"/>
      <sheetData sheetId="1"/>
      <sheetData sheetId="2"/>
      <sheetData sheetId="3">
        <row r="12">
          <cell r="B12">
            <v>3.7999999999999999E-2</v>
          </cell>
        </row>
        <row r="14">
          <cell r="B14">
            <v>2.387</v>
          </cell>
          <cell r="D14">
            <v>17.170000000000002</v>
          </cell>
        </row>
      </sheetData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 22"/>
      <sheetName val="Февраль 22"/>
      <sheetName val="Март 22"/>
      <sheetName val="Апрель 22"/>
      <sheetName val="Май 22"/>
      <sheetName val="Лист2"/>
      <sheetName val="Лист3"/>
    </sheetNames>
    <sheetDataSet>
      <sheetData sheetId="0"/>
      <sheetData sheetId="1"/>
      <sheetData sheetId="2"/>
      <sheetData sheetId="3"/>
      <sheetData sheetId="4">
        <row r="12">
          <cell r="B12">
            <v>3.6999999999999998E-2</v>
          </cell>
        </row>
        <row r="14">
          <cell r="B14">
            <v>2.2040000000000002</v>
          </cell>
          <cell r="D14">
            <v>12.864000000000001</v>
          </cell>
        </row>
      </sheetData>
      <sheetData sheetId="5"/>
      <sheetData sheetId="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 22"/>
      <sheetName val="Февраль 22"/>
      <sheetName val="Март 22"/>
      <sheetName val="Апрель 22"/>
      <sheetName val="Май 22"/>
      <sheetName val="Июнь 22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>
        <row r="12">
          <cell r="B12">
            <v>0.53900000000000003</v>
          </cell>
        </row>
        <row r="14">
          <cell r="B14">
            <v>3.1240000000000001</v>
          </cell>
          <cell r="D14">
            <v>12.523</v>
          </cell>
        </row>
      </sheetData>
      <sheetData sheetId="6"/>
      <sheetData sheetId="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 22"/>
      <sheetName val="Февраль 22"/>
      <sheetName val="Март 22"/>
      <sheetName val="Апрель 22"/>
      <sheetName val="Май 22"/>
      <sheetName val="Июнь 22"/>
      <sheetName val="Июль 22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B12">
            <v>1.661</v>
          </cell>
        </row>
        <row r="14">
          <cell r="B14">
            <v>2.76</v>
          </cell>
          <cell r="D14">
            <v>13.624000000000001</v>
          </cell>
        </row>
      </sheetData>
      <sheetData sheetId="7"/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 22"/>
      <sheetName val="Февраль 22"/>
      <sheetName val="Март 22"/>
      <sheetName val="Апрель 22"/>
      <sheetName val="Май 22"/>
      <sheetName val="Июнь 22"/>
      <sheetName val="Июль 22"/>
      <sheetName val="Август 22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2">
          <cell r="B12">
            <v>3.6949999999999998</v>
          </cell>
        </row>
        <row r="14">
          <cell r="B14">
            <v>2.33</v>
          </cell>
          <cell r="D14">
            <v>11.115</v>
          </cell>
        </row>
      </sheetData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</sheetNames>
    <sheetDataSet>
      <sheetData sheetId="0"/>
      <sheetData sheetId="1"/>
      <sheetData sheetId="2"/>
      <sheetData sheetId="3"/>
      <sheetData sheetId="4"/>
      <sheetData sheetId="5"/>
      <sheetData sheetId="6">
        <row r="27">
          <cell r="G27">
            <v>3958443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 22"/>
      <sheetName val="Февраль 22"/>
      <sheetName val="Март 22"/>
      <sheetName val="Апрель 22"/>
      <sheetName val="Май 22"/>
      <sheetName val="Июнь 22"/>
      <sheetName val="Июль 22"/>
      <sheetName val="Август 22"/>
      <sheetName val="Сентябрь 22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2">
          <cell r="B12">
            <v>8.7579999999999991</v>
          </cell>
        </row>
        <row r="14">
          <cell r="B14">
            <v>2.5179999999999998</v>
          </cell>
          <cell r="D14">
            <v>14.398999999999999</v>
          </cell>
        </row>
      </sheetData>
      <sheetData sheetId="9"/>
      <sheetData sheetId="1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 22"/>
      <sheetName val="Февраль 22"/>
      <sheetName val="Март 22"/>
      <sheetName val="Апрель 22"/>
      <sheetName val="Май 22"/>
      <sheetName val="Июнь 22"/>
      <sheetName val="Июль 22"/>
      <sheetName val="Август 22"/>
      <sheetName val="Сентябрь 22"/>
      <sheetName val="Октябрь 22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B12">
            <v>28.113</v>
          </cell>
        </row>
        <row r="14">
          <cell r="B14">
            <v>2.1960000000000002</v>
          </cell>
          <cell r="D14">
            <v>19.704000000000001</v>
          </cell>
        </row>
      </sheetData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 22"/>
      <sheetName val="Февраль 22"/>
      <sheetName val="Март 22"/>
      <sheetName val="Апрель 22"/>
      <sheetName val="Май 22"/>
      <sheetName val="Июнь 22"/>
      <sheetName val="Июль 22"/>
      <sheetName val="Август 22"/>
      <sheetName val="Сентябрь 22"/>
      <sheetName val="Октябрь 22"/>
      <sheetName val="Ноябрь 22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2">
          <cell r="B12">
            <v>43.47</v>
          </cell>
        </row>
        <row r="14">
          <cell r="B14">
            <v>2.9740000000000002</v>
          </cell>
          <cell r="D14">
            <v>18.247</v>
          </cell>
        </row>
      </sheetData>
      <sheetData sheetId="11"/>
      <sheetData sheetId="1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апрель (испр)"/>
      <sheetName val="май"/>
      <sheetName val="май (испр)"/>
      <sheetName val="июнь"/>
      <sheetName val="июль"/>
      <sheetName val="авгус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7">
          <cell r="G27">
            <v>4580267</v>
          </cell>
        </row>
        <row r="28">
          <cell r="G28">
            <v>261924911</v>
          </cell>
        </row>
        <row r="29">
          <cell r="G29">
            <v>918212</v>
          </cell>
        </row>
        <row r="30">
          <cell r="G30">
            <v>4580399</v>
          </cell>
        </row>
        <row r="31">
          <cell r="G31">
            <v>504842</v>
          </cell>
        </row>
        <row r="37">
          <cell r="G37">
            <v>47188</v>
          </cell>
        </row>
        <row r="39">
          <cell r="G39">
            <v>172878</v>
          </cell>
        </row>
        <row r="41">
          <cell r="G41">
            <v>4962</v>
          </cell>
        </row>
        <row r="58">
          <cell r="G58">
            <v>189580</v>
          </cell>
        </row>
        <row r="59">
          <cell r="G59">
            <v>59255</v>
          </cell>
        </row>
        <row r="60">
          <cell r="G60">
            <v>116418</v>
          </cell>
        </row>
        <row r="61">
          <cell r="G61">
            <v>199281.99999999997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 2023"/>
      <sheetName val="февраль 2023"/>
      <sheetName val="март 2023"/>
      <sheetName val="апрель 2023"/>
      <sheetName val="май 2023"/>
      <sheetName val="июнь 2023"/>
      <sheetName val="июль 2023"/>
      <sheetName val="август 2023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2">
          <cell r="B12">
            <v>29.937999999999999</v>
          </cell>
        </row>
        <row r="14">
          <cell r="B14">
            <v>3.5009999999999999</v>
          </cell>
          <cell r="D14">
            <v>13.516</v>
          </cell>
        </row>
      </sheetData>
      <sheetData sheetId="8"/>
      <sheetData sheetId="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январь (испр)"/>
      <sheetName val="январь (испр2)"/>
      <sheetName val="февраль"/>
      <sheetName val="февраль (испр)"/>
      <sheetName val="февраль (испр) (2)"/>
      <sheetName val="март"/>
      <sheetName val="апрель"/>
      <sheetName val="апрель (испр)"/>
      <sheetName val="апрель (испр РГМЭК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7">
          <cell r="G27">
            <v>7312005</v>
          </cell>
        </row>
        <row r="28">
          <cell r="G28">
            <v>291718678.5</v>
          </cell>
        </row>
        <row r="29">
          <cell r="G29">
            <v>2373681</v>
          </cell>
        </row>
        <row r="30">
          <cell r="G30">
            <v>6708314</v>
          </cell>
        </row>
        <row r="31">
          <cell r="G31">
            <v>738466</v>
          </cell>
        </row>
        <row r="37">
          <cell r="G37">
            <v>124426</v>
          </cell>
        </row>
        <row r="39">
          <cell r="G39">
            <v>211118</v>
          </cell>
        </row>
        <row r="41">
          <cell r="G41">
            <v>3727</v>
          </cell>
        </row>
        <row r="55">
          <cell r="G55">
            <v>336033</v>
          </cell>
        </row>
        <row r="56">
          <cell r="G56">
            <v>168881</v>
          </cell>
        </row>
        <row r="57">
          <cell r="G57">
            <v>247403</v>
          </cell>
        </row>
        <row r="58">
          <cell r="G58">
            <v>769937</v>
          </cell>
        </row>
        <row r="88">
          <cell r="G88">
            <v>4638524.5</v>
          </cell>
        </row>
        <row r="89">
          <cell r="G89">
            <v>127868</v>
          </cell>
        </row>
        <row r="90">
          <cell r="G90">
            <v>2163</v>
          </cell>
        </row>
        <row r="91">
          <cell r="G91">
            <v>27120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январь (испр)"/>
      <sheetName val="январь (испр2)"/>
      <sheetName val="февраль"/>
      <sheetName val="февраль (испр)"/>
      <sheetName val="февраль (испр) (2)"/>
      <sheetName val="март"/>
      <sheetName val="апрель"/>
      <sheetName val="апрель (испр)"/>
      <sheetName val="апрель (испр РГМЭК)"/>
      <sheetName val="май"/>
      <sheetName val="июнь"/>
      <sheetName val="июл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8">
          <cell r="G28">
            <v>271752892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январь (испр)"/>
      <sheetName val="январь (испр2)"/>
      <sheetName val="февраль"/>
      <sheetName val="февраль (испр)"/>
      <sheetName val="февраль (испр) (2)"/>
    </sheetNames>
    <sheetDataSet>
      <sheetData sheetId="0"/>
      <sheetData sheetId="1"/>
      <sheetData sheetId="2"/>
      <sheetData sheetId="3"/>
      <sheetData sheetId="4"/>
      <sheetData sheetId="5">
        <row r="55">
          <cell r="G55">
            <v>529500</v>
          </cell>
        </row>
        <row r="56">
          <cell r="G56">
            <v>247598</v>
          </cell>
        </row>
        <row r="57">
          <cell r="G57">
            <v>355744</v>
          </cell>
        </row>
        <row r="58">
          <cell r="G58">
            <v>1092871</v>
          </cell>
        </row>
        <row r="89">
          <cell r="G89">
            <v>5021701</v>
          </cell>
        </row>
        <row r="90">
          <cell r="G90">
            <v>230693</v>
          </cell>
        </row>
        <row r="91">
          <cell r="G91">
            <v>4716</v>
          </cell>
        </row>
        <row r="92">
          <cell r="G92">
            <v>37788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январь (испр)"/>
      <sheetName val="январь (испр2)"/>
      <sheetName val="февраль"/>
      <sheetName val="февраль (испр)"/>
      <sheetName val="февраль (испр) (2)"/>
      <sheetName val="мар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8">
          <cell r="G88">
            <v>4260583</v>
          </cell>
        </row>
        <row r="89">
          <cell r="G89">
            <v>145293</v>
          </cell>
        </row>
        <row r="90">
          <cell r="G90">
            <v>2914</v>
          </cell>
        </row>
        <row r="91">
          <cell r="G91">
            <v>39246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январь (испр)"/>
      <sheetName val="январь (испр2)"/>
      <sheetName val="февраль"/>
      <sheetName val="февраль (испр)"/>
      <sheetName val="февраль (испр) (2)"/>
      <sheetName val="март"/>
      <sheetName val="апрель"/>
      <sheetName val="апрель (испр)"/>
      <sheetName val="апрель (испр РГМЭК)"/>
      <sheetName val="ма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5">
          <cell r="G85">
            <v>5024164</v>
          </cell>
        </row>
        <row r="86">
          <cell r="G86">
            <v>91000</v>
          </cell>
        </row>
        <row r="87">
          <cell r="G87">
            <v>2163</v>
          </cell>
        </row>
        <row r="88">
          <cell r="G88">
            <v>17572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</sheetNames>
    <sheetDataSet>
      <sheetData sheetId="0"/>
      <sheetData sheetId="1">
        <row r="27">
          <cell r="G27">
            <v>8286456</v>
          </cell>
        </row>
        <row r="28">
          <cell r="G28">
            <v>279526505</v>
          </cell>
        </row>
        <row r="29">
          <cell r="G29">
            <v>3634753</v>
          </cell>
        </row>
        <row r="30">
          <cell r="G30">
            <v>9877761</v>
          </cell>
        </row>
        <row r="31">
          <cell r="G31">
            <v>1096129</v>
          </cell>
        </row>
        <row r="37">
          <cell r="G37">
            <v>132786</v>
          </cell>
        </row>
        <row r="39">
          <cell r="G39">
            <v>232295</v>
          </cell>
        </row>
        <row r="41">
          <cell r="G41">
            <v>2094</v>
          </cell>
        </row>
        <row r="57">
          <cell r="G57">
            <v>5150</v>
          </cell>
        </row>
        <row r="58">
          <cell r="G58">
            <v>474750</v>
          </cell>
        </row>
        <row r="59">
          <cell r="G59">
            <v>221652</v>
          </cell>
        </row>
        <row r="60">
          <cell r="G60">
            <v>255433</v>
          </cell>
        </row>
        <row r="61">
          <cell r="G61">
            <v>959455.99999999988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январь (испр)"/>
      <sheetName val="январь (испр2)"/>
      <sheetName val="февраль"/>
      <sheetName val="февраль (испр)"/>
      <sheetName val="февраль (испр) (2)"/>
      <sheetName val="март"/>
      <sheetName val="апрель"/>
      <sheetName val="апрель (испр)"/>
      <sheetName val="апрель (испр РГМЭК)"/>
      <sheetName val="май"/>
      <sheetName val="июнь"/>
      <sheetName val="июль"/>
      <sheetName val="август"/>
      <sheetName val="август (диф)"/>
      <sheetName val="сентябрь"/>
      <sheetName val="октябрь"/>
      <sheetName val="ноябрь"/>
      <sheetName val="ноябрь (испр)"/>
      <sheetName val="декаб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8">
          <cell r="G28">
            <v>318980031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</sheetNames>
    <sheetDataSet>
      <sheetData sheetId="0"/>
      <sheetData sheetId="1"/>
      <sheetData sheetId="2">
        <row r="27">
          <cell r="G27">
            <v>7195306</v>
          </cell>
        </row>
        <row r="28">
          <cell r="G28">
            <v>296512291</v>
          </cell>
        </row>
        <row r="29">
          <cell r="G29">
            <v>3580381</v>
          </cell>
        </row>
        <row r="30">
          <cell r="G30">
            <v>8201093</v>
          </cell>
        </row>
        <row r="31">
          <cell r="G31">
            <v>879212</v>
          </cell>
        </row>
        <row r="37">
          <cell r="G37">
            <v>245198</v>
          </cell>
        </row>
        <row r="39">
          <cell r="G39">
            <v>240196</v>
          </cell>
        </row>
        <row r="41">
          <cell r="G41">
            <v>2323</v>
          </cell>
        </row>
        <row r="57">
          <cell r="G57">
            <v>4663</v>
          </cell>
        </row>
        <row r="58">
          <cell r="G58">
            <v>411667</v>
          </cell>
        </row>
        <row r="59">
          <cell r="G59">
            <v>192269</v>
          </cell>
        </row>
        <row r="60">
          <cell r="G60">
            <v>204144</v>
          </cell>
        </row>
        <row r="61">
          <cell r="G61">
            <v>813894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тегр. ж.д. "/>
      <sheetName val="реализация по покупке"/>
      <sheetName val="реализация Оксана"/>
      <sheetName val="ИЭСК"/>
      <sheetName val="ИЭСК (испр)"/>
      <sheetName val="небаланс"/>
    </sheetNames>
    <sheetDataSet>
      <sheetData sheetId="0"/>
      <sheetData sheetId="1"/>
      <sheetData sheetId="2"/>
      <sheetData sheetId="3"/>
      <sheetData sheetId="4">
        <row r="27">
          <cell r="G27">
            <v>6630679</v>
          </cell>
        </row>
        <row r="28">
          <cell r="G28">
            <v>272951166</v>
          </cell>
        </row>
        <row r="29">
          <cell r="G29">
            <v>2750403</v>
          </cell>
        </row>
        <row r="30">
          <cell r="G30">
            <v>7540306</v>
          </cell>
        </row>
        <row r="31">
          <cell r="G31">
            <v>793669</v>
          </cell>
        </row>
        <row r="37">
          <cell r="G37">
            <v>82128</v>
          </cell>
        </row>
        <row r="39">
          <cell r="G39">
            <v>185942</v>
          </cell>
        </row>
        <row r="41">
          <cell r="G41">
            <v>1650</v>
          </cell>
        </row>
        <row r="57">
          <cell r="G57">
            <v>5546</v>
          </cell>
        </row>
        <row r="58">
          <cell r="G58">
            <v>336185</v>
          </cell>
        </row>
        <row r="59">
          <cell r="G59">
            <v>152840</v>
          </cell>
        </row>
        <row r="60">
          <cell r="G60">
            <v>187912</v>
          </cell>
        </row>
        <row r="61">
          <cell r="G61">
            <v>723302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апрель (испр)"/>
      <sheetName val="май"/>
    </sheetNames>
    <sheetDataSet>
      <sheetData sheetId="0"/>
      <sheetData sheetId="1"/>
      <sheetData sheetId="2"/>
      <sheetData sheetId="3"/>
      <sheetData sheetId="4"/>
      <sheetData sheetId="5">
        <row r="27">
          <cell r="G27">
            <v>5571435</v>
          </cell>
        </row>
        <row r="28">
          <cell r="G28">
            <v>261123454</v>
          </cell>
        </row>
        <row r="29">
          <cell r="G29">
            <v>1919941</v>
          </cell>
        </row>
        <row r="30">
          <cell r="G30">
            <v>5386615</v>
          </cell>
        </row>
        <row r="31">
          <cell r="G31">
            <v>589835</v>
          </cell>
        </row>
        <row r="37">
          <cell r="G37">
            <v>77027</v>
          </cell>
        </row>
        <row r="39">
          <cell r="G39">
            <v>165555</v>
          </cell>
        </row>
        <row r="41">
          <cell r="G41">
            <v>1838</v>
          </cell>
        </row>
        <row r="57">
          <cell r="G57">
            <v>5086</v>
          </cell>
        </row>
        <row r="58">
          <cell r="G58">
            <v>232954</v>
          </cell>
        </row>
        <row r="59">
          <cell r="G59">
            <v>100460</v>
          </cell>
        </row>
        <row r="60">
          <cell r="G60">
            <v>151193</v>
          </cell>
        </row>
        <row r="61">
          <cell r="G61">
            <v>503453</v>
          </cell>
        </row>
        <row r="62">
          <cell r="G62">
            <v>993146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апрель (испр)"/>
      <sheetName val="май"/>
      <sheetName val="июнь"/>
    </sheetNames>
    <sheetDataSet>
      <sheetData sheetId="0"/>
      <sheetData sheetId="1"/>
      <sheetData sheetId="2"/>
      <sheetData sheetId="3"/>
      <sheetData sheetId="4"/>
      <sheetData sheetId="5"/>
      <sheetData sheetId="6">
        <row r="27">
          <cell r="G27">
            <v>5100447</v>
          </cell>
        </row>
        <row r="28">
          <cell r="G28">
            <v>252144229</v>
          </cell>
        </row>
        <row r="29">
          <cell r="G29">
            <v>1240025</v>
          </cell>
        </row>
        <row r="30">
          <cell r="G30">
            <v>4455933</v>
          </cell>
        </row>
        <row r="31">
          <cell r="G31">
            <v>554055</v>
          </cell>
        </row>
        <row r="37">
          <cell r="G37">
            <v>114984</v>
          </cell>
        </row>
        <row r="39">
          <cell r="G39">
            <v>165029</v>
          </cell>
        </row>
        <row r="41">
          <cell r="G41">
            <v>1893</v>
          </cell>
        </row>
        <row r="57">
          <cell r="G57">
            <v>7522</v>
          </cell>
        </row>
        <row r="58">
          <cell r="G58">
            <v>154917</v>
          </cell>
        </row>
        <row r="59">
          <cell r="G59">
            <v>62203</v>
          </cell>
        </row>
        <row r="60">
          <cell r="G60">
            <v>148514</v>
          </cell>
        </row>
        <row r="61">
          <cell r="G61">
            <v>326962.99999999994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апрель (испр)"/>
      <sheetName val="май"/>
      <sheetName val="июнь"/>
      <sheetName val="июл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7">
          <cell r="G27">
            <v>4333449</v>
          </cell>
        </row>
        <row r="28">
          <cell r="G28">
            <v>261891485</v>
          </cell>
        </row>
        <row r="29">
          <cell r="G29">
            <v>1192982</v>
          </cell>
        </row>
        <row r="30">
          <cell r="G30">
            <v>3994209</v>
          </cell>
        </row>
        <row r="31">
          <cell r="G31">
            <v>479889</v>
          </cell>
        </row>
        <row r="37">
          <cell r="G37">
            <v>35351</v>
          </cell>
        </row>
        <row r="39">
          <cell r="G39">
            <v>170378</v>
          </cell>
        </row>
        <row r="41">
          <cell r="G41">
            <v>2084</v>
          </cell>
        </row>
        <row r="57">
          <cell r="G57">
            <v>6197</v>
          </cell>
        </row>
        <row r="58">
          <cell r="G58">
            <v>150277</v>
          </cell>
        </row>
        <row r="59">
          <cell r="G59">
            <v>52309</v>
          </cell>
        </row>
        <row r="60">
          <cell r="G60">
            <v>113516</v>
          </cell>
        </row>
        <row r="61">
          <cell r="G61">
            <v>247632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апрель (испр)"/>
      <sheetName val="май"/>
      <sheetName val="июнь"/>
      <sheetName val="июль"/>
      <sheetName val="авгус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7">
          <cell r="G27">
            <v>4682533</v>
          </cell>
        </row>
        <row r="28">
          <cell r="G28">
            <v>270808482</v>
          </cell>
        </row>
        <row r="29">
          <cell r="G29">
            <v>1172875</v>
          </cell>
        </row>
        <row r="30">
          <cell r="G30">
            <v>4233777</v>
          </cell>
        </row>
        <row r="31">
          <cell r="G31">
            <v>497622</v>
          </cell>
        </row>
        <row r="37">
          <cell r="G37">
            <v>100874</v>
          </cell>
        </row>
        <row r="39">
          <cell r="G39">
            <v>171206</v>
          </cell>
        </row>
        <row r="41">
          <cell r="G41">
            <v>2005</v>
          </cell>
        </row>
        <row r="57">
          <cell r="G57">
            <v>8177</v>
          </cell>
        </row>
        <row r="58">
          <cell r="G58">
            <v>172092</v>
          </cell>
        </row>
        <row r="59">
          <cell r="G59">
            <v>64729</v>
          </cell>
        </row>
        <row r="60">
          <cell r="G60">
            <v>125721</v>
          </cell>
        </row>
        <row r="61">
          <cell r="G61">
            <v>258757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workbookViewId="0">
      <selection activeCell="B9" sqref="B9:N9"/>
    </sheetView>
  </sheetViews>
  <sheetFormatPr defaultColWidth="9.140625" defaultRowHeight="22.5" customHeight="1" x14ac:dyDescent="0.25"/>
  <cols>
    <col min="1" max="1" width="24.85546875" style="1" customWidth="1"/>
    <col min="2" max="2" width="19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5" width="9.140625" style="1"/>
    <col min="16" max="16" width="10" style="1" bestFit="1" customWidth="1"/>
    <col min="17" max="25" width="9.140625" style="1"/>
    <col min="26" max="27" width="10" style="1" bestFit="1" customWidth="1"/>
    <col min="28" max="16384" width="9.140625" style="1"/>
  </cols>
  <sheetData>
    <row r="1" spans="1:19" s="2" customFormat="1" ht="22.5" customHeight="1" x14ac:dyDescent="0.25"/>
    <row r="2" spans="1:19" s="2" customFormat="1" ht="42.75" customHeight="1" x14ac:dyDescent="0.25">
      <c r="A2" s="40" t="s">
        <v>19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9" s="6" customFormat="1" ht="33" customHeight="1" x14ac:dyDescent="0.25">
      <c r="A3" s="3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</row>
    <row r="4" spans="1:19" ht="22.5" customHeight="1" x14ac:dyDescent="0.25">
      <c r="A4" s="41" t="s">
        <v>23</v>
      </c>
      <c r="B4" s="44" t="s">
        <v>18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9" ht="22.5" customHeight="1" x14ac:dyDescent="0.25">
      <c r="A5" s="42"/>
      <c r="B5" s="13" t="s">
        <v>14</v>
      </c>
      <c r="C5" s="12">
        <v>249241787</v>
      </c>
      <c r="D5" s="12">
        <v>232618634</v>
      </c>
      <c r="E5" s="12">
        <v>247920850</v>
      </c>
      <c r="F5" s="12">
        <v>229757116</v>
      </c>
      <c r="G5" s="12">
        <v>227457635</v>
      </c>
      <c r="H5" s="12">
        <v>208099256</v>
      </c>
      <c r="I5" s="12">
        <v>217690639</v>
      </c>
      <c r="J5" s="12">
        <v>222381410</v>
      </c>
      <c r="K5" s="12">
        <v>222039874</v>
      </c>
      <c r="L5" s="12">
        <v>253046688</v>
      </c>
      <c r="M5" s="12">
        <v>254557777</v>
      </c>
      <c r="N5" s="12">
        <v>281128651</v>
      </c>
    </row>
    <row r="6" spans="1:19" ht="22.5" customHeight="1" x14ac:dyDescent="0.25">
      <c r="A6" s="42"/>
      <c r="B6" s="13" t="s">
        <v>22</v>
      </c>
      <c r="C6" s="12">
        <v>3496836</v>
      </c>
      <c r="D6" s="12">
        <v>3021796</v>
      </c>
      <c r="E6" s="12">
        <v>3220469</v>
      </c>
      <c r="F6" s="12">
        <v>2360218</v>
      </c>
      <c r="G6" s="12">
        <v>1717402</v>
      </c>
      <c r="H6" s="12">
        <v>959569</v>
      </c>
      <c r="I6" s="12">
        <v>924158</v>
      </c>
      <c r="J6" s="12">
        <v>1040583</v>
      </c>
      <c r="K6" s="12">
        <v>1460148</v>
      </c>
      <c r="L6" s="12">
        <v>2293002</v>
      </c>
      <c r="M6" s="12">
        <v>2578842</v>
      </c>
      <c r="N6" s="12">
        <v>3073078</v>
      </c>
    </row>
    <row r="7" spans="1:19" ht="22.5" customHeight="1" x14ac:dyDescent="0.25">
      <c r="A7" s="42"/>
      <c r="B7" s="13" t="s">
        <v>15</v>
      </c>
      <c r="C7" s="12">
        <v>11317939</v>
      </c>
      <c r="D7" s="12">
        <v>10687542</v>
      </c>
      <c r="E7" s="12">
        <v>8846842</v>
      </c>
      <c r="F7" s="12">
        <v>8476991</v>
      </c>
      <c r="G7" s="12">
        <v>5622231</v>
      </c>
      <c r="H7" s="12">
        <v>4836144</v>
      </c>
      <c r="I7" s="12">
        <v>4774649</v>
      </c>
      <c r="J7" s="12">
        <v>4815212</v>
      </c>
      <c r="K7" s="12">
        <v>6024586</v>
      </c>
      <c r="L7" s="12">
        <v>7599808</v>
      </c>
      <c r="M7" s="12">
        <v>8713395</v>
      </c>
      <c r="N7" s="12">
        <v>9673847</v>
      </c>
    </row>
    <row r="8" spans="1:19" ht="22.5" customHeight="1" x14ac:dyDescent="0.25">
      <c r="A8" s="42"/>
      <c r="B8" s="13" t="s">
        <v>16</v>
      </c>
      <c r="C8" s="12">
        <v>1300711</v>
      </c>
      <c r="D8" s="12">
        <v>1233847</v>
      </c>
      <c r="E8" s="12">
        <v>992970</v>
      </c>
      <c r="F8" s="12">
        <v>875903</v>
      </c>
      <c r="G8" s="12">
        <v>729064</v>
      </c>
      <c r="H8" s="12">
        <v>474344</v>
      </c>
      <c r="I8" s="12">
        <v>505806</v>
      </c>
      <c r="J8" s="12">
        <v>530391</v>
      </c>
      <c r="K8" s="12">
        <v>677214</v>
      </c>
      <c r="L8" s="12">
        <v>764092</v>
      </c>
      <c r="M8" s="12">
        <v>876008</v>
      </c>
      <c r="N8" s="12">
        <v>1027847</v>
      </c>
    </row>
    <row r="9" spans="1:19" ht="22.5" customHeight="1" x14ac:dyDescent="0.25">
      <c r="A9" s="42"/>
      <c r="B9" s="44" t="s">
        <v>24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6"/>
    </row>
    <row r="10" spans="1:19" ht="22.5" customHeight="1" x14ac:dyDescent="0.25">
      <c r="A10" s="42"/>
      <c r="B10" s="14"/>
      <c r="C10" s="12">
        <v>9882584</v>
      </c>
      <c r="D10" s="12">
        <v>8147513</v>
      </c>
      <c r="E10" s="12">
        <v>7241495</v>
      </c>
      <c r="F10" s="12">
        <v>5780701</v>
      </c>
      <c r="G10" s="12">
        <v>5344073</v>
      </c>
      <c r="H10" s="12">
        <v>4800814</v>
      </c>
      <c r="I10" s="12">
        <v>4340858</v>
      </c>
      <c r="J10" s="12">
        <v>4262458</v>
      </c>
      <c r="K10" s="12">
        <v>5609303</v>
      </c>
      <c r="L10" s="12">
        <v>5632443</v>
      </c>
      <c r="M10" s="12">
        <v>6230194</v>
      </c>
      <c r="N10" s="12">
        <v>6996017</v>
      </c>
    </row>
    <row r="11" spans="1:19" ht="30.75" customHeight="1" x14ac:dyDescent="0.25">
      <c r="A11" s="43"/>
      <c r="B11" s="15" t="s">
        <v>17</v>
      </c>
      <c r="C11" s="12">
        <f t="shared" ref="C11:N11" si="0">SUM(C5:C8,C10)</f>
        <v>275239857</v>
      </c>
      <c r="D11" s="12">
        <f t="shared" si="0"/>
        <v>255709332</v>
      </c>
      <c r="E11" s="12">
        <f t="shared" si="0"/>
        <v>268222626</v>
      </c>
      <c r="F11" s="12">
        <f t="shared" si="0"/>
        <v>247250929</v>
      </c>
      <c r="G11" s="12">
        <f t="shared" si="0"/>
        <v>240870405</v>
      </c>
      <c r="H11" s="12">
        <f t="shared" si="0"/>
        <v>219170127</v>
      </c>
      <c r="I11" s="12">
        <f t="shared" si="0"/>
        <v>228236110</v>
      </c>
      <c r="J11" s="12">
        <f t="shared" si="0"/>
        <v>233030054</v>
      </c>
      <c r="K11" s="12">
        <f t="shared" si="0"/>
        <v>235811125</v>
      </c>
      <c r="L11" s="12">
        <f t="shared" si="0"/>
        <v>269336033</v>
      </c>
      <c r="M11" s="12">
        <f t="shared" si="0"/>
        <v>272956216</v>
      </c>
      <c r="N11" s="12">
        <f t="shared" si="0"/>
        <v>301899440</v>
      </c>
    </row>
    <row r="12" spans="1:19" ht="22.5" customHeight="1" x14ac:dyDescent="0.25">
      <c r="A12" s="47" t="s">
        <v>17</v>
      </c>
      <c r="B12" s="48"/>
      <c r="C12" s="16">
        <f>C11</f>
        <v>275239857</v>
      </c>
      <c r="D12" s="16">
        <f t="shared" ref="D12:M12" si="1">D11</f>
        <v>255709332</v>
      </c>
      <c r="E12" s="16">
        <f t="shared" si="1"/>
        <v>268222626</v>
      </c>
      <c r="F12" s="16">
        <f t="shared" si="1"/>
        <v>247250929</v>
      </c>
      <c r="G12" s="16">
        <f t="shared" si="1"/>
        <v>240870405</v>
      </c>
      <c r="H12" s="16">
        <f t="shared" si="1"/>
        <v>219170127</v>
      </c>
      <c r="I12" s="16">
        <f t="shared" si="1"/>
        <v>228236110</v>
      </c>
      <c r="J12" s="16">
        <f t="shared" si="1"/>
        <v>233030054</v>
      </c>
      <c r="K12" s="16">
        <f t="shared" si="1"/>
        <v>235811125</v>
      </c>
      <c r="L12" s="16">
        <f t="shared" si="1"/>
        <v>269336033</v>
      </c>
      <c r="M12" s="16">
        <f t="shared" si="1"/>
        <v>272956216</v>
      </c>
      <c r="N12" s="16">
        <f>N11</f>
        <v>301899440</v>
      </c>
    </row>
    <row r="14" spans="1:19" ht="22.5" customHeight="1" x14ac:dyDescent="0.25">
      <c r="C14" s="9"/>
      <c r="D14" s="10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19" ht="22.5" customHeight="1" x14ac:dyDescent="0.25"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8"/>
      <c r="P15" s="8"/>
      <c r="Q15" s="8"/>
      <c r="R15" s="8"/>
      <c r="S15" s="8"/>
    </row>
    <row r="16" spans="1:19" ht="22.5" customHeight="1" x14ac:dyDescent="0.25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3:19" ht="22.5" customHeight="1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3:19" ht="22.5" customHeight="1" x14ac:dyDescent="0.25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3:19" ht="22.5" customHeight="1" x14ac:dyDescent="0.25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3:19" ht="22.5" customHeight="1" x14ac:dyDescent="0.25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3:19" ht="22.5" customHeight="1" x14ac:dyDescent="0.25"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3:19" ht="22.5" customHeight="1" x14ac:dyDescent="0.25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3:19" ht="22.5" customHeight="1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3:19" ht="22.5" customHeight="1" x14ac:dyDescent="0.25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3:19" ht="22.5" customHeight="1" x14ac:dyDescent="0.25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3:19" ht="22.5" customHeight="1" x14ac:dyDescent="0.25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3:19" ht="22.5" customHeight="1" x14ac:dyDescent="0.25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</row>
    <row r="28" spans="3:19" ht="22.5" customHeight="1" x14ac:dyDescent="0.25"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</row>
    <row r="29" spans="3:19" ht="22.5" customHeight="1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</row>
    <row r="30" spans="3:19" ht="22.5" customHeight="1" x14ac:dyDescent="0.25"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3:19" ht="22.5" customHeight="1" x14ac:dyDescent="0.25"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</row>
    <row r="32" spans="3:19" ht="22.5" customHeight="1" x14ac:dyDescent="0.25"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</row>
    <row r="33" spans="3:19" ht="22.5" customHeight="1" x14ac:dyDescent="0.25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</row>
    <row r="34" spans="3:19" ht="22.5" customHeight="1" x14ac:dyDescent="0.25"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</row>
    <row r="35" spans="3:19" ht="22.5" customHeight="1" x14ac:dyDescent="0.25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</row>
    <row r="36" spans="3:19" ht="22.5" customHeight="1" x14ac:dyDescent="0.25"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</row>
    <row r="37" spans="3:19" ht="22.5" customHeight="1" x14ac:dyDescent="0.25"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</row>
    <row r="38" spans="3:19" ht="22.5" customHeight="1" x14ac:dyDescent="0.25"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</row>
    <row r="39" spans="3:19" ht="22.5" customHeight="1" x14ac:dyDescent="0.25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</row>
  </sheetData>
  <mergeCells count="5">
    <mergeCell ref="A2:N2"/>
    <mergeCell ref="A4:A11"/>
    <mergeCell ref="B4:N4"/>
    <mergeCell ref="B9:N9"/>
    <mergeCell ref="A12:B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8"/>
  <sheetViews>
    <sheetView zoomScale="85" zoomScaleNormal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C21" sqref="AC21"/>
    </sheetView>
  </sheetViews>
  <sheetFormatPr defaultColWidth="9.140625" defaultRowHeight="15" x14ac:dyDescent="0.25"/>
  <cols>
    <col min="1" max="1" width="17.42578125" style="23" customWidth="1"/>
    <col min="2" max="2" width="15.5703125" style="23" customWidth="1"/>
    <col min="3" max="3" width="15.5703125" style="23" hidden="1" customWidth="1"/>
    <col min="4" max="4" width="17.42578125" style="23" customWidth="1"/>
    <col min="5" max="6" width="17.42578125" style="23" hidden="1" customWidth="1"/>
    <col min="7" max="7" width="21" style="23" customWidth="1"/>
    <col min="8" max="9" width="21" style="23" hidden="1" customWidth="1"/>
    <col min="10" max="10" width="18.42578125" style="23" customWidth="1"/>
    <col min="11" max="12" width="18.42578125" style="23" hidden="1" customWidth="1"/>
    <col min="13" max="13" width="18" style="23" customWidth="1"/>
    <col min="14" max="15" width="18" style="23" hidden="1" customWidth="1"/>
    <col min="16" max="16" width="12.28515625" style="23" hidden="1" customWidth="1"/>
    <col min="17" max="17" width="17.5703125" style="23" customWidth="1"/>
    <col min="18" max="20" width="17.5703125" style="23" hidden="1" customWidth="1"/>
    <col min="21" max="21" width="17.28515625" style="23" customWidth="1"/>
    <col min="22" max="24" width="17.28515625" style="23" hidden="1" customWidth="1"/>
    <col min="25" max="25" width="17.7109375" style="23" customWidth="1"/>
    <col min="26" max="28" width="17.7109375" style="23" hidden="1" customWidth="1"/>
    <col min="29" max="29" width="15.85546875" style="23" customWidth="1"/>
    <col min="30" max="32" width="15.85546875" style="23" hidden="1" customWidth="1"/>
    <col min="33" max="33" width="17.140625" style="23" customWidth="1"/>
    <col min="34" max="36" width="17.140625" style="23" hidden="1" customWidth="1"/>
    <col min="37" max="37" width="18.28515625" style="23" customWidth="1"/>
    <col min="38" max="40" width="18.28515625" style="23" hidden="1" customWidth="1"/>
    <col min="41" max="41" width="17.7109375" style="23" customWidth="1"/>
    <col min="42" max="44" width="17.7109375" style="23" hidden="1" customWidth="1"/>
    <col min="45" max="45" width="17.7109375" style="23" customWidth="1"/>
    <col min="46" max="46" width="9.140625" style="34"/>
    <col min="47" max="16384" width="9.140625" style="23"/>
  </cols>
  <sheetData>
    <row r="1" spans="1:45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</row>
    <row r="2" spans="1:45" x14ac:dyDescent="0.25">
      <c r="A2" s="57" t="s">
        <v>36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</row>
    <row r="3" spans="1:45" ht="28.5" x14ac:dyDescent="0.25">
      <c r="A3" s="24" t="s">
        <v>0</v>
      </c>
      <c r="B3" s="25" t="s">
        <v>1</v>
      </c>
      <c r="C3" s="25"/>
      <c r="D3" s="26" t="s">
        <v>2</v>
      </c>
      <c r="E3" s="26"/>
      <c r="F3" s="26"/>
      <c r="G3" s="26" t="s">
        <v>3</v>
      </c>
      <c r="H3" s="26"/>
      <c r="I3" s="26"/>
      <c r="J3" s="26" t="s">
        <v>4</v>
      </c>
      <c r="K3" s="26"/>
      <c r="L3" s="26"/>
      <c r="M3" s="26" t="s">
        <v>5</v>
      </c>
      <c r="N3" s="26"/>
      <c r="O3" s="26"/>
      <c r="P3" s="26"/>
      <c r="Q3" s="26" t="s">
        <v>6</v>
      </c>
      <c r="R3" s="26"/>
      <c r="S3" s="26"/>
      <c r="T3" s="26"/>
      <c r="U3" s="26" t="s">
        <v>7</v>
      </c>
      <c r="V3" s="26"/>
      <c r="W3" s="26"/>
      <c r="X3" s="26"/>
      <c r="Y3" s="26" t="s">
        <v>8</v>
      </c>
      <c r="Z3" s="26"/>
      <c r="AA3" s="26"/>
      <c r="AB3" s="26"/>
      <c r="AC3" s="26" t="s">
        <v>9</v>
      </c>
      <c r="AD3" s="26"/>
      <c r="AE3" s="26"/>
      <c r="AF3" s="26"/>
      <c r="AG3" s="26" t="s">
        <v>10</v>
      </c>
      <c r="AH3" s="26"/>
      <c r="AI3" s="26"/>
      <c r="AJ3" s="26"/>
      <c r="AK3" s="26" t="s">
        <v>11</v>
      </c>
      <c r="AL3" s="26"/>
      <c r="AM3" s="26"/>
      <c r="AN3" s="26"/>
      <c r="AO3" s="26" t="s">
        <v>12</v>
      </c>
      <c r="AP3" s="26"/>
      <c r="AQ3" s="26"/>
      <c r="AR3" s="26"/>
      <c r="AS3" s="26" t="s">
        <v>13</v>
      </c>
    </row>
    <row r="4" spans="1:45" x14ac:dyDescent="0.25">
      <c r="A4" s="49" t="s">
        <v>23</v>
      </c>
      <c r="B4" s="52" t="s">
        <v>18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4"/>
    </row>
    <row r="5" spans="1:45" x14ac:dyDescent="0.25">
      <c r="A5" s="50"/>
      <c r="B5" s="27" t="s">
        <v>14</v>
      </c>
      <c r="C5" s="27">
        <v>1.0265939776416808</v>
      </c>
      <c r="D5" s="28">
        <v>304288200</v>
      </c>
      <c r="E5" s="28"/>
      <c r="F5" s="28">
        <v>0.8623389847613514</v>
      </c>
      <c r="G5" s="28">
        <v>279526505</v>
      </c>
      <c r="H5" s="28">
        <f>[3]февраль!$G$28</f>
        <v>279526505</v>
      </c>
      <c r="I5" s="28">
        <f>[3]февраль!$G$28</f>
        <v>279526505</v>
      </c>
      <c r="J5" s="28">
        <v>296512291</v>
      </c>
      <c r="K5" s="28">
        <f>[4]март!$G$28</f>
        <v>296512291</v>
      </c>
      <c r="L5" s="28">
        <f>[4]март!$G$28</f>
        <v>296512291</v>
      </c>
      <c r="M5" s="28">
        <v>272951166</v>
      </c>
      <c r="N5" s="28">
        <f>'[5]ИЭСК (испр)'!$G$28</f>
        <v>272951166</v>
      </c>
      <c r="O5" s="28">
        <f>'[5]ИЭСК (испр)'!$G$28</f>
        <v>272951166</v>
      </c>
      <c r="P5" s="28">
        <f>'[5]ИЭСК (испр)'!$G$28</f>
        <v>272951166</v>
      </c>
      <c r="Q5" s="28">
        <v>261123454</v>
      </c>
      <c r="R5" s="28">
        <f>[6]май!$G$28</f>
        <v>261123454</v>
      </c>
      <c r="S5" s="28">
        <f>[6]май!$G$28</f>
        <v>261123454</v>
      </c>
      <c r="T5" s="28">
        <f>[6]май!$G$28</f>
        <v>261123454</v>
      </c>
      <c r="U5" s="28">
        <v>252144229</v>
      </c>
      <c r="V5" s="28">
        <f>[7]июнь!$G$28</f>
        <v>252144229</v>
      </c>
      <c r="W5" s="28">
        <f>[7]июнь!$G$28</f>
        <v>252144229</v>
      </c>
      <c r="X5" s="28">
        <f>[7]июнь!$G$28</f>
        <v>252144229</v>
      </c>
      <c r="Y5" s="28">
        <v>261891485</v>
      </c>
      <c r="Z5" s="28">
        <f>[8]июль!$G$28</f>
        <v>261891485</v>
      </c>
      <c r="AA5" s="28">
        <f>[8]июль!$G$28</f>
        <v>261891485</v>
      </c>
      <c r="AB5" s="28">
        <f>[8]июль!$G$28</f>
        <v>261891485</v>
      </c>
      <c r="AC5" s="28">
        <v>270808482</v>
      </c>
      <c r="AD5" s="28">
        <f>[9]август!$G$28</f>
        <v>270808482</v>
      </c>
      <c r="AE5" s="28">
        <f>[9]август!$G$28</f>
        <v>270808482</v>
      </c>
      <c r="AF5" s="28">
        <f>[9]август!$G$28</f>
        <v>270808482</v>
      </c>
      <c r="AG5" s="28">
        <v>251463463</v>
      </c>
      <c r="AH5" s="28">
        <f>[10]сентябрь!$G$28</f>
        <v>251463463</v>
      </c>
      <c r="AI5" s="28">
        <f>[10]сентябрь!$G$28</f>
        <v>251463463</v>
      </c>
      <c r="AJ5" s="28">
        <f>[10]сентябрь!$G$28</f>
        <v>251463463</v>
      </c>
      <c r="AK5" s="28">
        <v>279628235</v>
      </c>
      <c r="AL5" s="28">
        <f>[11]октябрь!$G$28</f>
        <v>279628235</v>
      </c>
      <c r="AM5" s="28">
        <f>[11]октябрь!$G$28</f>
        <v>279628235</v>
      </c>
      <c r="AN5" s="28">
        <f>[11]октябрь!$G$28</f>
        <v>279628235</v>
      </c>
      <c r="AO5" s="28">
        <v>278278963</v>
      </c>
      <c r="AP5" s="28">
        <f>[12]ноябрь!$G$28</f>
        <v>278278963</v>
      </c>
      <c r="AQ5" s="28">
        <f>[12]ноябрь!$G$28</f>
        <v>278278963</v>
      </c>
      <c r="AR5" s="28">
        <f>[12]ноябрь!$G$28</f>
        <v>278278963</v>
      </c>
      <c r="AS5" s="28">
        <v>304287659</v>
      </c>
    </row>
    <row r="6" spans="1:45" x14ac:dyDescent="0.25">
      <c r="A6" s="50"/>
      <c r="B6" s="27" t="s">
        <v>22</v>
      </c>
      <c r="C6" s="27">
        <v>1.0917888466013443</v>
      </c>
      <c r="D6" s="28">
        <v>4044773</v>
      </c>
      <c r="E6" s="28"/>
      <c r="F6" s="28">
        <v>0.88933412733582951</v>
      </c>
      <c r="G6" s="28">
        <v>3767539</v>
      </c>
      <c r="H6" s="28">
        <f>[3]февраль!$G$29+[3]февраль!$G$37</f>
        <v>3767539</v>
      </c>
      <c r="I6" s="28">
        <f>[3]февраль!$G$29+[3]февраль!$G$37</f>
        <v>3767539</v>
      </c>
      <c r="J6" s="28">
        <v>3825579</v>
      </c>
      <c r="K6" s="28">
        <f>[4]март!$G$29+[4]март!$G$37</f>
        <v>3825579</v>
      </c>
      <c r="L6" s="28">
        <f>[4]март!$G$29+[4]март!$G$37</f>
        <v>3825579</v>
      </c>
      <c r="M6" s="28">
        <v>2832531</v>
      </c>
      <c r="N6" s="28">
        <f>'[5]ИЭСК (испр)'!$G$29+'[5]ИЭСК (испр)'!$G$37</f>
        <v>2832531</v>
      </c>
      <c r="O6" s="28">
        <f>'[5]ИЭСК (испр)'!$G$29+'[5]ИЭСК (испр)'!$G$37</f>
        <v>2832531</v>
      </c>
      <c r="P6" s="28">
        <f>'[5]ИЭСК (испр)'!$G$29+'[5]ИЭСК (испр)'!$G$37</f>
        <v>2832531</v>
      </c>
      <c r="Q6" s="28">
        <v>1996968</v>
      </c>
      <c r="R6" s="28">
        <f>[6]май!$G$29+[6]май!$G$37</f>
        <v>1996968</v>
      </c>
      <c r="S6" s="28">
        <f>[6]май!$G$29+[6]май!$G$37</f>
        <v>1996968</v>
      </c>
      <c r="T6" s="28">
        <f>[6]май!$G$29+[6]май!$G$37</f>
        <v>1996968</v>
      </c>
      <c r="U6" s="28">
        <v>1355009</v>
      </c>
      <c r="V6" s="28">
        <f>[7]июнь!$G$29+[7]июнь!$G$37</f>
        <v>1355009</v>
      </c>
      <c r="W6" s="28">
        <f>[7]июнь!$G$29+[7]июнь!$G$37</f>
        <v>1355009</v>
      </c>
      <c r="X6" s="28">
        <f>[7]июнь!$G$29+[7]июнь!$G$37</f>
        <v>1355009</v>
      </c>
      <c r="Y6" s="28">
        <v>1228333</v>
      </c>
      <c r="Z6" s="28">
        <f>[8]июль!$G$29+[8]июль!$G$37</f>
        <v>1228333</v>
      </c>
      <c r="AA6" s="28">
        <f>[8]июль!$G$29+[8]июль!$G$37</f>
        <v>1228333</v>
      </c>
      <c r="AB6" s="28">
        <f>[8]июль!$G$29+[8]июль!$G$37</f>
        <v>1228333</v>
      </c>
      <c r="AC6" s="28">
        <v>1273749</v>
      </c>
      <c r="AD6" s="28">
        <f>[9]август!$G$29+[9]август!$G$37</f>
        <v>1273749</v>
      </c>
      <c r="AE6" s="28">
        <f>[9]август!$G$29+[9]август!$G$37</f>
        <v>1273749</v>
      </c>
      <c r="AF6" s="28">
        <f>[9]август!$G$29+[9]август!$G$37</f>
        <v>1273749</v>
      </c>
      <c r="AG6" s="28">
        <v>1951099</v>
      </c>
      <c r="AH6" s="28">
        <f>[10]сентябрь!$G$29+[10]сентябрь!$G$37</f>
        <v>1951099</v>
      </c>
      <c r="AI6" s="28">
        <f>[10]сентябрь!$G$29+[10]сентябрь!$G$37</f>
        <v>1951099</v>
      </c>
      <c r="AJ6" s="28">
        <f>[10]сентябрь!$G$29+[10]сентябрь!$G$37</f>
        <v>1951099</v>
      </c>
      <c r="AK6" s="28">
        <v>2918174</v>
      </c>
      <c r="AL6" s="28">
        <f>[11]октябрь!$G$29+[11]октябрь!$G$37</f>
        <v>2918174</v>
      </c>
      <c r="AM6" s="28">
        <f>[11]октябрь!$G$29+[11]октябрь!$G$37</f>
        <v>2918174</v>
      </c>
      <c r="AN6" s="28">
        <f>[11]октябрь!$G$29+[11]октябрь!$G$37</f>
        <v>2918174</v>
      </c>
      <c r="AO6" s="28">
        <v>3178446</v>
      </c>
      <c r="AP6" s="28">
        <f>[12]ноябрь!$G$29+[12]ноябрь!$G$37</f>
        <v>3178446</v>
      </c>
      <c r="AQ6" s="28">
        <f>[12]ноябрь!$G$29+[12]ноябрь!$G$37</f>
        <v>3178446</v>
      </c>
      <c r="AR6" s="28">
        <f>[12]ноябрь!$G$29+[12]ноябрь!$G$37</f>
        <v>3178446</v>
      </c>
      <c r="AS6" s="28">
        <v>3989932</v>
      </c>
    </row>
    <row r="7" spans="1:45" x14ac:dyDescent="0.25">
      <c r="A7" s="50"/>
      <c r="B7" s="27" t="s">
        <v>15</v>
      </c>
      <c r="C7" s="27">
        <v>1.1017749063574991</v>
      </c>
      <c r="D7" s="28">
        <v>9842555</v>
      </c>
      <c r="E7" s="28"/>
      <c r="F7" s="28">
        <v>0.91876375027595714</v>
      </c>
      <c r="G7" s="28">
        <v>10110056</v>
      </c>
      <c r="H7" s="28">
        <f>[3]февраль!$G$30+[3]февраль!$G$39</f>
        <v>10110056</v>
      </c>
      <c r="I7" s="28">
        <f>[3]февраль!$G$30+[3]февраль!$G$39</f>
        <v>10110056</v>
      </c>
      <c r="J7" s="28">
        <v>8441289</v>
      </c>
      <c r="K7" s="28">
        <f>[4]март!$G$30+[4]март!$G$39</f>
        <v>8441289</v>
      </c>
      <c r="L7" s="28">
        <f>[4]март!$G$30+[4]март!$G$39</f>
        <v>8441289</v>
      </c>
      <c r="M7" s="28">
        <v>7726248</v>
      </c>
      <c r="N7" s="28">
        <f>'[5]ИЭСК (испр)'!$G$30+'[5]ИЭСК (испр)'!$G$39</f>
        <v>7726248</v>
      </c>
      <c r="O7" s="28">
        <f>'[5]ИЭСК (испр)'!$G$30+'[5]ИЭСК (испр)'!$G$39</f>
        <v>7726248</v>
      </c>
      <c r="P7" s="28">
        <f>'[5]ИЭСК (испр)'!$G$30+'[5]ИЭСК (испр)'!$G$39</f>
        <v>7726248</v>
      </c>
      <c r="Q7" s="28">
        <v>5552170</v>
      </c>
      <c r="R7" s="28">
        <f>[6]май!$G$30+[6]май!$G$39</f>
        <v>5552170</v>
      </c>
      <c r="S7" s="28">
        <f>[6]май!$G$30+[6]май!$G$39</f>
        <v>5552170</v>
      </c>
      <c r="T7" s="28">
        <f>[6]май!$G$30+[6]май!$G$39</f>
        <v>5552170</v>
      </c>
      <c r="U7" s="28">
        <v>4620962</v>
      </c>
      <c r="V7" s="28">
        <f>[7]июнь!$G$30+[7]июнь!$G$39</f>
        <v>4620962</v>
      </c>
      <c r="W7" s="28">
        <f>[7]июнь!$G$30+[7]июнь!$G$39</f>
        <v>4620962</v>
      </c>
      <c r="X7" s="28">
        <f>[7]июнь!$G$30+[7]июнь!$G$39</f>
        <v>4620962</v>
      </c>
      <c r="Y7" s="28">
        <v>4164587</v>
      </c>
      <c r="Z7" s="28">
        <f>[8]июль!$G$30+[8]июль!$G$39</f>
        <v>4164587</v>
      </c>
      <c r="AA7" s="28">
        <f>[8]июль!$G$30+[8]июль!$G$39</f>
        <v>4164587</v>
      </c>
      <c r="AB7" s="28">
        <f>[8]июль!$G$30+[8]июль!$G$39</f>
        <v>4164587</v>
      </c>
      <c r="AC7" s="28">
        <v>4404983</v>
      </c>
      <c r="AD7" s="28">
        <f>[9]август!$G$30+[9]август!$G$39</f>
        <v>4404983</v>
      </c>
      <c r="AE7" s="28">
        <f>[9]август!$G$30+[9]август!$G$39</f>
        <v>4404983</v>
      </c>
      <c r="AF7" s="28">
        <f>[9]август!$G$30+[9]август!$G$39</f>
        <v>4404983</v>
      </c>
      <c r="AG7" s="28">
        <v>4933324.5</v>
      </c>
      <c r="AH7" s="28">
        <f>[10]сентябрь!$G$30+[10]сентябрь!$G$39</f>
        <v>4933324.5</v>
      </c>
      <c r="AI7" s="28">
        <f>[10]сентябрь!$G$30+[10]сентябрь!$G$39</f>
        <v>4933324.5</v>
      </c>
      <c r="AJ7" s="28">
        <f>[10]сентябрь!$G$30+[10]сентябрь!$G$39</f>
        <v>4933324.5</v>
      </c>
      <c r="AK7" s="28">
        <v>6561819.0999999996</v>
      </c>
      <c r="AL7" s="28">
        <f>[11]октябрь!$G$30+[11]октябрь!$G$39</f>
        <v>6561819.0999999996</v>
      </c>
      <c r="AM7" s="28">
        <f>[11]октябрь!$G$30+[11]октябрь!$G$39</f>
        <v>6561819.0999999996</v>
      </c>
      <c r="AN7" s="28">
        <f>[11]октябрь!$G$30+[11]октябрь!$G$39</f>
        <v>6561819.0999999996</v>
      </c>
      <c r="AO7" s="28">
        <v>8062848.4000000004</v>
      </c>
      <c r="AP7" s="28">
        <f>[12]ноябрь!$G$30+[12]ноябрь!$G$39</f>
        <v>8062848.4000000004</v>
      </c>
      <c r="AQ7" s="28">
        <f>[12]ноябрь!$G$30+[12]ноябрь!$G$39</f>
        <v>8062848.4000000004</v>
      </c>
      <c r="AR7" s="28">
        <f>[12]ноябрь!$G$30+[12]ноябрь!$G$39</f>
        <v>8062848.4000000004</v>
      </c>
      <c r="AS7" s="28">
        <v>9459345</v>
      </c>
    </row>
    <row r="8" spans="1:45" x14ac:dyDescent="0.25">
      <c r="A8" s="50"/>
      <c r="B8" s="27" t="s">
        <v>16</v>
      </c>
      <c r="C8" s="27">
        <v>1.2555682742233489</v>
      </c>
      <c r="D8" s="28">
        <v>1144917</v>
      </c>
      <c r="E8" s="28"/>
      <c r="F8" s="28">
        <v>0.92452316358798015</v>
      </c>
      <c r="G8" s="28">
        <v>1098223</v>
      </c>
      <c r="H8" s="28">
        <f>[3]февраль!$G$31+[3]февраль!$G$41</f>
        <v>1098223</v>
      </c>
      <c r="I8" s="28">
        <f>[3]февраль!$G$31+[3]февраль!$G$41</f>
        <v>1098223</v>
      </c>
      <c r="J8" s="28">
        <v>881535</v>
      </c>
      <c r="K8" s="28">
        <f>[4]март!$G$31+[4]март!$G$41</f>
        <v>881535</v>
      </c>
      <c r="L8" s="28">
        <f>[4]март!$G$31+[4]март!$G$41</f>
        <v>881535</v>
      </c>
      <c r="M8" s="28">
        <v>795319</v>
      </c>
      <c r="N8" s="28">
        <f>'[5]ИЭСК (испр)'!$G$31+'[5]ИЭСК (испр)'!$G$41</f>
        <v>795319</v>
      </c>
      <c r="O8" s="28">
        <f>'[5]ИЭСК (испр)'!$G$31+'[5]ИЭСК (испр)'!$G$41</f>
        <v>795319</v>
      </c>
      <c r="P8" s="28">
        <f>'[5]ИЭСК (испр)'!$G$31+'[5]ИЭСК (испр)'!$G$41</f>
        <v>795319</v>
      </c>
      <c r="Q8" s="28">
        <v>591673</v>
      </c>
      <c r="R8" s="28">
        <f>[6]май!$G$31+[6]май!$G$41</f>
        <v>591673</v>
      </c>
      <c r="S8" s="28">
        <f>[6]май!$G$31+[6]май!$G$41</f>
        <v>591673</v>
      </c>
      <c r="T8" s="28">
        <f>[6]май!$G$31+[6]май!$G$41</f>
        <v>591673</v>
      </c>
      <c r="U8" s="28">
        <v>555948</v>
      </c>
      <c r="V8" s="28">
        <f>[7]июнь!$G$31+[7]июнь!$G$41</f>
        <v>555948</v>
      </c>
      <c r="W8" s="28">
        <f>[7]июнь!$G$31+[7]июнь!$G$41</f>
        <v>555948</v>
      </c>
      <c r="X8" s="28">
        <f>[7]июнь!$G$31+[7]июнь!$G$41</f>
        <v>555948</v>
      </c>
      <c r="Y8" s="28">
        <v>481973</v>
      </c>
      <c r="Z8" s="28">
        <f>[8]июль!$G$31+[8]июль!$G$41</f>
        <v>481973</v>
      </c>
      <c r="AA8" s="28">
        <f>[8]июль!$G$31+[8]июль!$G$41</f>
        <v>481973</v>
      </c>
      <c r="AB8" s="28">
        <f>[8]июль!$G$31+[8]июль!$G$41</f>
        <v>481973</v>
      </c>
      <c r="AC8" s="28">
        <v>499627</v>
      </c>
      <c r="AD8" s="28">
        <f>[9]август!$G$31+[9]август!$G$41</f>
        <v>499627</v>
      </c>
      <c r="AE8" s="28">
        <f>[9]август!$G$31+[9]август!$G$41</f>
        <v>499627</v>
      </c>
      <c r="AF8" s="28">
        <f>[9]август!$G$31+[9]август!$G$41</f>
        <v>499627</v>
      </c>
      <c r="AG8" s="28">
        <v>622271</v>
      </c>
      <c r="AH8" s="28">
        <f>[10]сентябрь!$G$31+[10]сентябрь!$G$41</f>
        <v>622271</v>
      </c>
      <c r="AI8" s="28">
        <f>[10]сентябрь!$G$31+[10]сентябрь!$G$41</f>
        <v>622271</v>
      </c>
      <c r="AJ8" s="28">
        <f>[10]сентябрь!$G$31+[10]сентябрь!$G$41</f>
        <v>622271</v>
      </c>
      <c r="AK8" s="28">
        <v>716541</v>
      </c>
      <c r="AL8" s="28">
        <f>[11]октябрь!$G$31+[11]октябрь!$G$41</f>
        <v>716541</v>
      </c>
      <c r="AM8" s="28">
        <f>[11]октябрь!$G$31+[11]октябрь!$G$41</f>
        <v>716541</v>
      </c>
      <c r="AN8" s="28">
        <f>[11]октябрь!$G$31+[11]октябрь!$G$41</f>
        <v>716541</v>
      </c>
      <c r="AO8" s="28">
        <v>872716</v>
      </c>
      <c r="AP8" s="28">
        <f>[12]ноябрь!$G$31+[12]ноябрь!$G$41</f>
        <v>872716</v>
      </c>
      <c r="AQ8" s="28">
        <f>[12]ноябрь!$G$31+[12]ноябрь!$G$41</f>
        <v>872716</v>
      </c>
      <c r="AR8" s="28">
        <f>[12]ноябрь!$G$31+[12]ноябрь!$G$41</f>
        <v>872716</v>
      </c>
      <c r="AS8" s="28">
        <v>1068347</v>
      </c>
    </row>
    <row r="9" spans="1:45" x14ac:dyDescent="0.25">
      <c r="A9" s="50"/>
      <c r="B9" s="52" t="s">
        <v>24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4"/>
    </row>
    <row r="10" spans="1:45" x14ac:dyDescent="0.25">
      <c r="A10" s="50"/>
      <c r="B10" s="29"/>
      <c r="C10" s="29">
        <v>1.2145307173087592</v>
      </c>
      <c r="D10" s="28">
        <v>8530926</v>
      </c>
      <c r="E10" s="28"/>
      <c r="F10" s="28">
        <v>1.0133423486662814</v>
      </c>
      <c r="G10" s="28">
        <v>8286456</v>
      </c>
      <c r="H10" s="28">
        <f>[3]февраль!$G$27</f>
        <v>8286456</v>
      </c>
      <c r="I10" s="28">
        <f>[3]февраль!$G$27</f>
        <v>8286456</v>
      </c>
      <c r="J10" s="28">
        <v>7195306</v>
      </c>
      <c r="K10" s="28">
        <f>[4]март!$G$27</f>
        <v>7195306</v>
      </c>
      <c r="L10" s="28">
        <f>[4]март!$G$27</f>
        <v>7195306</v>
      </c>
      <c r="M10" s="28">
        <v>6630679</v>
      </c>
      <c r="N10" s="28">
        <f>'[5]ИЭСК (испр)'!$G$27</f>
        <v>6630679</v>
      </c>
      <c r="O10" s="28">
        <f>'[5]ИЭСК (испр)'!$G$27</f>
        <v>6630679</v>
      </c>
      <c r="P10" s="28">
        <f>'[5]ИЭСК (испр)'!$G$27</f>
        <v>6630679</v>
      </c>
      <c r="Q10" s="28">
        <v>5571435</v>
      </c>
      <c r="R10" s="28">
        <f>[6]май!$G$27</f>
        <v>5571435</v>
      </c>
      <c r="S10" s="28">
        <f>[6]май!$G$27</f>
        <v>5571435</v>
      </c>
      <c r="T10" s="28">
        <f>[6]май!$G$27</f>
        <v>5571435</v>
      </c>
      <c r="U10" s="28">
        <v>5100447</v>
      </c>
      <c r="V10" s="28">
        <f>[7]июнь!$G$27</f>
        <v>5100447</v>
      </c>
      <c r="W10" s="28">
        <f>[7]июнь!$G$27</f>
        <v>5100447</v>
      </c>
      <c r="X10" s="28">
        <f>[7]июнь!$G$27</f>
        <v>5100447</v>
      </c>
      <c r="Y10" s="28">
        <v>4333449</v>
      </c>
      <c r="Z10" s="28">
        <f>[8]июль!$G$27</f>
        <v>4333449</v>
      </c>
      <c r="AA10" s="28">
        <f>[8]июль!$G$27</f>
        <v>4333449</v>
      </c>
      <c r="AB10" s="28">
        <f>[8]июль!$G$27</f>
        <v>4333449</v>
      </c>
      <c r="AC10" s="28">
        <v>4682533</v>
      </c>
      <c r="AD10" s="28">
        <f>[9]август!$G$27</f>
        <v>4682533</v>
      </c>
      <c r="AE10" s="28">
        <f>[9]август!$G$27</f>
        <v>4682533</v>
      </c>
      <c r="AF10" s="28">
        <f>[9]август!$G$27</f>
        <v>4682533</v>
      </c>
      <c r="AG10" s="28">
        <v>5690082</v>
      </c>
      <c r="AH10" s="28">
        <f>[10]сентябрь!$G$27</f>
        <v>5690082</v>
      </c>
      <c r="AI10" s="28">
        <f>[10]сентябрь!$G$27</f>
        <v>5690082</v>
      </c>
      <c r="AJ10" s="28">
        <f>[10]сентябрь!$G$27</f>
        <v>5690082</v>
      </c>
      <c r="AK10" s="28">
        <v>5929391</v>
      </c>
      <c r="AL10" s="28">
        <f>[11]октябрь!$G$27</f>
        <v>5929391</v>
      </c>
      <c r="AM10" s="28">
        <f>[11]октябрь!$G$27</f>
        <v>5929391</v>
      </c>
      <c r="AN10" s="28">
        <f>[11]октябрь!$G$27</f>
        <v>5929391</v>
      </c>
      <c r="AO10" s="28">
        <v>6847845</v>
      </c>
      <c r="AP10" s="28">
        <f>[12]ноябрь!$G$27</f>
        <v>6847845</v>
      </c>
      <c r="AQ10" s="28">
        <f>[12]ноябрь!$G$27</f>
        <v>6847845</v>
      </c>
      <c r="AR10" s="28">
        <f>[12]ноябрь!$G$27</f>
        <v>6847845</v>
      </c>
      <c r="AS10" s="28">
        <v>8490292</v>
      </c>
    </row>
    <row r="11" spans="1:45" x14ac:dyDescent="0.25">
      <c r="A11" s="51"/>
      <c r="B11" s="30" t="s">
        <v>17</v>
      </c>
      <c r="C11" s="30"/>
      <c r="D11" s="31">
        <f t="shared" ref="D11:G11" si="0">SUM(D5:D8,D10)</f>
        <v>327851371</v>
      </c>
      <c r="E11" s="31"/>
      <c r="F11" s="31"/>
      <c r="G11" s="31">
        <f t="shared" si="0"/>
        <v>302788779</v>
      </c>
      <c r="H11" s="31"/>
      <c r="I11" s="31"/>
      <c r="J11" s="31">
        <f>SUM(J5:J8,J10)</f>
        <v>316856000</v>
      </c>
      <c r="K11" s="31"/>
      <c r="L11" s="31"/>
      <c r="M11" s="31">
        <f>SUM(M5:M8,M10)</f>
        <v>290935943</v>
      </c>
      <c r="N11" s="31"/>
      <c r="O11" s="31"/>
      <c r="P11" s="31"/>
      <c r="Q11" s="31">
        <f>SUM(Q5:Q8,Q10)</f>
        <v>274835700</v>
      </c>
      <c r="R11" s="31"/>
      <c r="S11" s="31"/>
      <c r="T11" s="31"/>
      <c r="U11" s="31">
        <f>SUM(U5:U8,U10)</f>
        <v>263776595</v>
      </c>
      <c r="V11" s="31"/>
      <c r="W11" s="31"/>
      <c r="X11" s="31"/>
      <c r="Y11" s="31">
        <f t="shared" ref="Y11:AS11" si="1">SUM(Y5:Y8,Y10)</f>
        <v>272099827</v>
      </c>
      <c r="Z11" s="31"/>
      <c r="AA11" s="31"/>
      <c r="AB11" s="31"/>
      <c r="AC11" s="31">
        <f t="shared" si="1"/>
        <v>281669374</v>
      </c>
      <c r="AD11" s="31"/>
      <c r="AE11" s="31"/>
      <c r="AF11" s="31"/>
      <c r="AG11" s="31">
        <f t="shared" si="1"/>
        <v>264660239.5</v>
      </c>
      <c r="AH11" s="31"/>
      <c r="AI11" s="31"/>
      <c r="AJ11" s="31"/>
      <c r="AK11" s="31">
        <f t="shared" si="1"/>
        <v>295754160.10000002</v>
      </c>
      <c r="AL11" s="31"/>
      <c r="AM11" s="31"/>
      <c r="AN11" s="31"/>
      <c r="AO11" s="31">
        <f t="shared" si="1"/>
        <v>297240818.39999998</v>
      </c>
      <c r="AP11" s="31"/>
      <c r="AQ11" s="31"/>
      <c r="AR11" s="31"/>
      <c r="AS11" s="31">
        <f t="shared" si="1"/>
        <v>327295575</v>
      </c>
    </row>
    <row r="12" spans="1:45" ht="23.25" customHeight="1" x14ac:dyDescent="0.25">
      <c r="A12" s="49" t="s">
        <v>34</v>
      </c>
      <c r="B12" s="32" t="s">
        <v>14</v>
      </c>
      <c r="C12" s="32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</row>
    <row r="13" spans="1:45" ht="18.75" customHeight="1" x14ac:dyDescent="0.25">
      <c r="A13" s="50"/>
      <c r="B13" s="32" t="s">
        <v>22</v>
      </c>
      <c r="C13" s="32">
        <v>3.5695652173913044</v>
      </c>
      <c r="D13" s="28">
        <v>307</v>
      </c>
      <c r="E13" s="28"/>
      <c r="F13" s="28">
        <v>0.76492082825822172</v>
      </c>
      <c r="G13" s="28">
        <v>1072</v>
      </c>
      <c r="H13" s="28">
        <f>'[13]Февраль 22'!$B$12*1000</f>
        <v>1072</v>
      </c>
      <c r="I13" s="28">
        <f>'[13]Февраль 22'!$B$12*1000</f>
        <v>1072</v>
      </c>
      <c r="J13" s="28">
        <v>62</v>
      </c>
      <c r="K13" s="28">
        <f>'[14]Март 22'!$B$12*1000</f>
        <v>62</v>
      </c>
      <c r="L13" s="28">
        <f>'[14]Март 22'!$B$12*1000</f>
        <v>62</v>
      </c>
      <c r="M13" s="28">
        <v>38</v>
      </c>
      <c r="N13" s="28">
        <f>'[15]Апрель 22'!$B$12*1000</f>
        <v>38</v>
      </c>
      <c r="O13" s="28">
        <f>'[15]Апрель 22'!$B$12*1000</f>
        <v>38</v>
      </c>
      <c r="P13" s="28">
        <f>'[15]Апрель 22'!$B$12*1000</f>
        <v>38</v>
      </c>
      <c r="Q13" s="28">
        <v>37</v>
      </c>
      <c r="R13" s="28">
        <f>'[16]Май 22'!$B$12*1000</f>
        <v>37</v>
      </c>
      <c r="S13" s="28">
        <f>'[16]Май 22'!$B$12*1000</f>
        <v>37</v>
      </c>
      <c r="T13" s="28">
        <f>'[16]Май 22'!$B$12*1000</f>
        <v>37</v>
      </c>
      <c r="U13" s="28">
        <v>539</v>
      </c>
      <c r="V13" s="28">
        <f>'[17]Июнь 22'!$B$12*1000</f>
        <v>539</v>
      </c>
      <c r="W13" s="28">
        <f>'[17]Июнь 22'!$B$12*1000</f>
        <v>539</v>
      </c>
      <c r="X13" s="28">
        <f>'[17]Июнь 22'!$B$12*1000</f>
        <v>539</v>
      </c>
      <c r="Y13" s="28">
        <v>1661</v>
      </c>
      <c r="Z13" s="28">
        <f>'[18]Июль 22'!$B$12*1000</f>
        <v>1661</v>
      </c>
      <c r="AA13" s="28">
        <f>'[18]Июль 22'!$B$12*1000</f>
        <v>1661</v>
      </c>
      <c r="AB13" s="28">
        <f>'[18]Июль 22'!$B$12*1000</f>
        <v>1661</v>
      </c>
      <c r="AC13" s="28">
        <v>3695</v>
      </c>
      <c r="AD13" s="28">
        <f>'[19]Август 22'!$B$12*1000</f>
        <v>3695</v>
      </c>
      <c r="AE13" s="28">
        <f>'[19]Август 22'!$B$12*1000</f>
        <v>3695</v>
      </c>
      <c r="AF13" s="28">
        <f>'[19]Август 22'!$B$12*1000</f>
        <v>3695</v>
      </c>
      <c r="AG13" s="28">
        <v>8758</v>
      </c>
      <c r="AH13" s="28">
        <f>'[20]Сентябрь 22'!$B$12*1000</f>
        <v>8758</v>
      </c>
      <c r="AI13" s="28">
        <f>'[20]Сентябрь 22'!$B$12*1000</f>
        <v>8758</v>
      </c>
      <c r="AJ13" s="28">
        <f>'[20]Сентябрь 22'!$B$12*1000</f>
        <v>8758</v>
      </c>
      <c r="AK13" s="28">
        <v>28113</v>
      </c>
      <c r="AL13" s="28">
        <f>'[21]Октябрь 22'!$B$12*1000</f>
        <v>28113</v>
      </c>
      <c r="AM13" s="28">
        <f>'[21]Октябрь 22'!$B$12*1000</f>
        <v>28113</v>
      </c>
      <c r="AN13" s="28">
        <f>'[21]Октябрь 22'!$B$12*1000</f>
        <v>28113</v>
      </c>
      <c r="AO13" s="28">
        <v>43470</v>
      </c>
      <c r="AP13" s="28">
        <f>'[22]Ноябрь 22'!$B$12*1000</f>
        <v>43470</v>
      </c>
      <c r="AQ13" s="28">
        <f>'[22]Ноябрь 22'!$B$12*1000</f>
        <v>43470</v>
      </c>
      <c r="AR13" s="28">
        <f>'[22]Ноябрь 22'!$B$12*1000</f>
        <v>43470</v>
      </c>
      <c r="AS13" s="28">
        <v>69680</v>
      </c>
    </row>
    <row r="14" spans="1:45" ht="17.25" customHeight="1" x14ac:dyDescent="0.25">
      <c r="A14" s="50"/>
      <c r="B14" s="32" t="s">
        <v>15</v>
      </c>
      <c r="C14" s="32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</row>
    <row r="15" spans="1:45" ht="19.5" customHeight="1" x14ac:dyDescent="0.25">
      <c r="A15" s="50"/>
      <c r="B15" s="32" t="s">
        <v>16</v>
      </c>
      <c r="C15" s="32">
        <v>1.2307490832896804</v>
      </c>
      <c r="D15" s="28">
        <v>4923</v>
      </c>
      <c r="E15" s="28"/>
      <c r="F15" s="28">
        <v>0.69865928921047027</v>
      </c>
      <c r="G15" s="28">
        <v>4503</v>
      </c>
      <c r="H15" s="28">
        <f>'[13]Февраль 22'!$B$14*1000</f>
        <v>4503</v>
      </c>
      <c r="I15" s="28">
        <f>'[13]Февраль 22'!$B$14*1000</f>
        <v>4503</v>
      </c>
      <c r="J15" s="28">
        <v>3598</v>
      </c>
      <c r="K15" s="28">
        <f>'[14]Март 22'!$B$14*1000</f>
        <v>3598</v>
      </c>
      <c r="L15" s="28">
        <f>'[14]Март 22'!$B$14*1000</f>
        <v>3598</v>
      </c>
      <c r="M15" s="28">
        <v>2387</v>
      </c>
      <c r="N15" s="28">
        <f>'[15]Апрель 22'!$B$14*1000</f>
        <v>2387</v>
      </c>
      <c r="O15" s="28">
        <f>'[15]Апрель 22'!$B$14*1000</f>
        <v>2387</v>
      </c>
      <c r="P15" s="28">
        <f>'[15]Апрель 22'!$B$14*1000</f>
        <v>2387</v>
      </c>
      <c r="Q15" s="28">
        <v>2204</v>
      </c>
      <c r="R15" s="28">
        <f>'[16]Май 22'!$B$14*1000</f>
        <v>2204</v>
      </c>
      <c r="S15" s="28">
        <f>'[16]Май 22'!$B$14*1000</f>
        <v>2204</v>
      </c>
      <c r="T15" s="28">
        <f>'[16]Май 22'!$B$14*1000</f>
        <v>2204</v>
      </c>
      <c r="U15" s="28">
        <v>3124</v>
      </c>
      <c r="V15" s="28">
        <f>'[17]Июнь 22'!$B$14*1000</f>
        <v>3124</v>
      </c>
      <c r="W15" s="28">
        <f>'[17]Июнь 22'!$B$14*1000</f>
        <v>3124</v>
      </c>
      <c r="X15" s="28">
        <f>'[17]Июнь 22'!$B$14*1000</f>
        <v>3124</v>
      </c>
      <c r="Y15" s="28">
        <v>2760</v>
      </c>
      <c r="Z15" s="28">
        <f>'[18]Июль 22'!$B$14*1000</f>
        <v>2760</v>
      </c>
      <c r="AA15" s="28">
        <f>'[18]Июль 22'!$B$14*1000</f>
        <v>2760</v>
      </c>
      <c r="AB15" s="28">
        <f>'[18]Июль 22'!$B$14*1000</f>
        <v>2760</v>
      </c>
      <c r="AC15" s="28">
        <v>2330</v>
      </c>
      <c r="AD15" s="28">
        <f>'[19]Август 22'!$B$14*1000</f>
        <v>2330</v>
      </c>
      <c r="AE15" s="28">
        <f>'[19]Август 22'!$B$14*1000</f>
        <v>2330</v>
      </c>
      <c r="AF15" s="28">
        <f>'[19]Август 22'!$B$14*1000</f>
        <v>2330</v>
      </c>
      <c r="AG15" s="28">
        <v>2518</v>
      </c>
      <c r="AH15" s="28">
        <f>'[20]Сентябрь 22'!$B$14*1000</f>
        <v>2518</v>
      </c>
      <c r="AI15" s="28">
        <f>'[20]Сентябрь 22'!$B$14*1000</f>
        <v>2518</v>
      </c>
      <c r="AJ15" s="28">
        <f>'[20]Сентябрь 22'!$B$14*1000</f>
        <v>2518</v>
      </c>
      <c r="AK15" s="28">
        <v>2196</v>
      </c>
      <c r="AL15" s="28">
        <f>'[21]Октябрь 22'!$B$14*1000</f>
        <v>2196</v>
      </c>
      <c r="AM15" s="28">
        <f>'[21]Октябрь 22'!$B$14*1000</f>
        <v>2196</v>
      </c>
      <c r="AN15" s="28">
        <f>'[21]Октябрь 22'!$B$14*1000</f>
        <v>2196</v>
      </c>
      <c r="AO15" s="28">
        <v>2974</v>
      </c>
      <c r="AP15" s="28">
        <f>'[22]Ноябрь 22'!$B$14*1000</f>
        <v>2974</v>
      </c>
      <c r="AQ15" s="28">
        <f>'[22]Ноябрь 22'!$B$14*1000</f>
        <v>2974</v>
      </c>
      <c r="AR15" s="28">
        <f>'[22]Ноябрь 22'!$B$14*1000</f>
        <v>2974</v>
      </c>
      <c r="AS15" s="28">
        <v>3295</v>
      </c>
    </row>
    <row r="16" spans="1:45" ht="17.25" customHeight="1" x14ac:dyDescent="0.25">
      <c r="A16" s="50"/>
      <c r="B16" s="32"/>
      <c r="C16" s="32"/>
      <c r="D16" s="33"/>
      <c r="E16" s="28"/>
      <c r="F16" s="28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</row>
    <row r="17" spans="1:45" ht="23.25" customHeight="1" x14ac:dyDescent="0.25">
      <c r="A17" s="51"/>
      <c r="B17" s="32" t="s">
        <v>24</v>
      </c>
      <c r="C17" s="32">
        <v>1.44500889001778</v>
      </c>
      <c r="D17" s="28">
        <v>23634</v>
      </c>
      <c r="E17" s="28"/>
      <c r="F17" s="28">
        <v>0.97148004921778874</v>
      </c>
      <c r="G17" s="28">
        <v>22853</v>
      </c>
      <c r="H17" s="28">
        <f>'[13]Февраль 22'!$D$14*1000</f>
        <v>22853</v>
      </c>
      <c r="I17" s="28">
        <f>'[13]Февраль 22'!$D$14*1000</f>
        <v>22853</v>
      </c>
      <c r="J17" s="28">
        <v>20343</v>
      </c>
      <c r="K17" s="28">
        <f>'[14]Март 22'!$D$14*1000</f>
        <v>20343</v>
      </c>
      <c r="L17" s="28">
        <f>'[14]Март 22'!$D$14*1000</f>
        <v>20343</v>
      </c>
      <c r="M17" s="28">
        <v>17170</v>
      </c>
      <c r="N17" s="28">
        <f>'[15]Апрель 22'!$D$14*1000</f>
        <v>17170</v>
      </c>
      <c r="O17" s="28">
        <f>'[15]Апрель 22'!$D$14*1000</f>
        <v>17170</v>
      </c>
      <c r="P17" s="28">
        <f>'[15]Апрель 22'!$D$14*1000</f>
        <v>17170</v>
      </c>
      <c r="Q17" s="28">
        <v>12864</v>
      </c>
      <c r="R17" s="28">
        <f>'[16]Май 22'!$D$14*1000</f>
        <v>12864</v>
      </c>
      <c r="S17" s="28">
        <f>'[16]Май 22'!$D$14*1000</f>
        <v>12864</v>
      </c>
      <c r="T17" s="28">
        <f>'[16]Май 22'!$D$14*1000</f>
        <v>12864</v>
      </c>
      <c r="U17" s="28">
        <v>12523</v>
      </c>
      <c r="V17" s="28">
        <f>'[17]Июнь 22'!$D$14*1000</f>
        <v>12523</v>
      </c>
      <c r="W17" s="28">
        <f>'[17]Июнь 22'!$D$14*1000</f>
        <v>12523</v>
      </c>
      <c r="X17" s="28">
        <f>'[17]Июнь 22'!$D$14*1000</f>
        <v>12523</v>
      </c>
      <c r="Y17" s="28">
        <v>13624</v>
      </c>
      <c r="Z17" s="28">
        <f>'[18]Июль 22'!$D$14*1000</f>
        <v>13624</v>
      </c>
      <c r="AA17" s="28">
        <f>'[18]Июль 22'!$D$14*1000</f>
        <v>13624</v>
      </c>
      <c r="AB17" s="28">
        <f>'[18]Июль 22'!$D$14*1000</f>
        <v>13624</v>
      </c>
      <c r="AC17" s="28">
        <v>11115</v>
      </c>
      <c r="AD17" s="28">
        <f>'[19]Август 22'!$D$14*1000</f>
        <v>11115</v>
      </c>
      <c r="AE17" s="28">
        <f>'[19]Август 22'!$D$14*1000</f>
        <v>11115</v>
      </c>
      <c r="AF17" s="28">
        <f>'[19]Август 22'!$D$14*1000</f>
        <v>11115</v>
      </c>
      <c r="AG17" s="28">
        <v>14399</v>
      </c>
      <c r="AH17" s="28">
        <f>'[20]Сентябрь 22'!$D$14*1000</f>
        <v>14399</v>
      </c>
      <c r="AI17" s="28">
        <f>'[20]Сентябрь 22'!$D$14*1000</f>
        <v>14399</v>
      </c>
      <c r="AJ17" s="28">
        <f>'[20]Сентябрь 22'!$D$14*1000</f>
        <v>14399</v>
      </c>
      <c r="AK17" s="28">
        <v>19704</v>
      </c>
      <c r="AL17" s="28">
        <f>'[21]Октябрь 22'!$D$14*1000</f>
        <v>19704</v>
      </c>
      <c r="AM17" s="28">
        <f>'[21]Октябрь 22'!$D$14*1000</f>
        <v>19704</v>
      </c>
      <c r="AN17" s="28">
        <f>'[21]Октябрь 22'!$D$14*1000</f>
        <v>19704</v>
      </c>
      <c r="AO17" s="28">
        <v>18247</v>
      </c>
      <c r="AP17" s="28">
        <f>'[22]Ноябрь 22'!$D$14*1000</f>
        <v>18247</v>
      </c>
      <c r="AQ17" s="28">
        <f>'[22]Ноябрь 22'!$D$14*1000</f>
        <v>18247</v>
      </c>
      <c r="AR17" s="28">
        <f>'[22]Ноябрь 22'!$D$14*1000</f>
        <v>18247</v>
      </c>
      <c r="AS17" s="28">
        <v>17996</v>
      </c>
    </row>
    <row r="18" spans="1:45" ht="18.75" customHeight="1" x14ac:dyDescent="0.25">
      <c r="A18" s="55" t="s">
        <v>17</v>
      </c>
      <c r="B18" s="56"/>
      <c r="C18" s="36"/>
      <c r="D18" s="31">
        <f t="shared" ref="D18:AC18" si="2">SUM(D12:D15,D17)</f>
        <v>28864</v>
      </c>
      <c r="E18" s="31"/>
      <c r="F18" s="31"/>
      <c r="G18" s="31">
        <f t="shared" si="2"/>
        <v>28428</v>
      </c>
      <c r="H18" s="31"/>
      <c r="I18" s="31"/>
      <c r="J18" s="31">
        <f>SUM(J12:J15,J17)</f>
        <v>24003</v>
      </c>
      <c r="K18" s="31"/>
      <c r="L18" s="31"/>
      <c r="M18" s="31">
        <f t="shared" si="2"/>
        <v>19595</v>
      </c>
      <c r="N18" s="31"/>
      <c r="O18" s="31"/>
      <c r="P18" s="31"/>
      <c r="Q18" s="31">
        <f t="shared" si="2"/>
        <v>15105</v>
      </c>
      <c r="R18" s="31"/>
      <c r="S18" s="31"/>
      <c r="T18" s="31"/>
      <c r="U18" s="31">
        <f>SUM(U12:U15,U17)</f>
        <v>16186</v>
      </c>
      <c r="V18" s="31"/>
      <c r="W18" s="31"/>
      <c r="X18" s="31"/>
      <c r="Y18" s="31">
        <f t="shared" si="2"/>
        <v>18045</v>
      </c>
      <c r="Z18" s="31"/>
      <c r="AA18" s="31"/>
      <c r="AB18" s="31"/>
      <c r="AC18" s="31">
        <f t="shared" si="2"/>
        <v>17140</v>
      </c>
      <c r="AD18" s="31"/>
      <c r="AE18" s="31"/>
      <c r="AF18" s="31"/>
      <c r="AG18" s="31">
        <f>SUM(AG12:AG15,AG17)</f>
        <v>25675</v>
      </c>
      <c r="AH18" s="31"/>
      <c r="AI18" s="31"/>
      <c r="AJ18" s="31"/>
      <c r="AK18" s="31">
        <f>SUM(AK12:AK15,AK17)</f>
        <v>50013</v>
      </c>
      <c r="AL18" s="31"/>
      <c r="AM18" s="31"/>
      <c r="AN18" s="31"/>
      <c r="AO18" s="31">
        <f>SUM(AO12:AO15,AO17)</f>
        <v>64691</v>
      </c>
      <c r="AP18" s="31"/>
      <c r="AQ18" s="31"/>
      <c r="AR18" s="31"/>
      <c r="AS18" s="31">
        <f>SUM(AS12:AS15,AS17)</f>
        <v>90971</v>
      </c>
    </row>
    <row r="19" spans="1:45" x14ac:dyDescent="0.25">
      <c r="A19" s="49" t="s">
        <v>28</v>
      </c>
      <c r="B19" s="52" t="s">
        <v>18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4"/>
    </row>
    <row r="20" spans="1:45" x14ac:dyDescent="0.25">
      <c r="A20" s="50"/>
      <c r="B20" s="27" t="s">
        <v>14</v>
      </c>
      <c r="C20" s="27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</row>
    <row r="21" spans="1:45" x14ac:dyDescent="0.25">
      <c r="A21" s="50"/>
      <c r="B21" s="27" t="s">
        <v>22</v>
      </c>
      <c r="C21" s="27">
        <v>1.3596810933940775</v>
      </c>
      <c r="D21" s="28">
        <v>5271</v>
      </c>
      <c r="E21" s="28"/>
      <c r="F21" s="28">
        <v>0.7056458368235885</v>
      </c>
      <c r="G21" s="28">
        <v>5150</v>
      </c>
      <c r="H21" s="28">
        <f>[3]февраль!$G$57</f>
        <v>5150</v>
      </c>
      <c r="I21" s="28">
        <f>[3]февраль!$G$57</f>
        <v>5150</v>
      </c>
      <c r="J21" s="28">
        <v>4663</v>
      </c>
      <c r="K21" s="28">
        <f>[4]март!$G$57</f>
        <v>4663</v>
      </c>
      <c r="L21" s="28">
        <f>[4]март!$G$57</f>
        <v>4663</v>
      </c>
      <c r="M21" s="28">
        <v>5546</v>
      </c>
      <c r="N21" s="28">
        <f>'[5]ИЭСК (испр)'!$G$57</f>
        <v>5546</v>
      </c>
      <c r="O21" s="28">
        <f>'[5]ИЭСК (испр)'!$G$57</f>
        <v>5546</v>
      </c>
      <c r="P21" s="28">
        <f>'[5]ИЭСК (испр)'!$G$57</f>
        <v>5546</v>
      </c>
      <c r="Q21" s="28">
        <v>5086</v>
      </c>
      <c r="R21" s="28">
        <f>[6]май!$G$57</f>
        <v>5086</v>
      </c>
      <c r="S21" s="28">
        <f>[6]май!$G$57</f>
        <v>5086</v>
      </c>
      <c r="T21" s="28">
        <f>[6]май!$G$57</f>
        <v>5086</v>
      </c>
      <c r="U21" s="28">
        <v>7522</v>
      </c>
      <c r="V21" s="28">
        <f>[7]июнь!$G$57</f>
        <v>7522</v>
      </c>
      <c r="W21" s="28">
        <f>[7]июнь!$G$57</f>
        <v>7522</v>
      </c>
      <c r="X21" s="28">
        <f>[7]июнь!$G$57</f>
        <v>7522</v>
      </c>
      <c r="Y21" s="28">
        <v>6197</v>
      </c>
      <c r="Z21" s="28">
        <f>[8]июль!$G$57</f>
        <v>6197</v>
      </c>
      <c r="AA21" s="28">
        <f>[8]июль!$G$57</f>
        <v>6197</v>
      </c>
      <c r="AB21" s="28">
        <f>[8]июль!$G$57</f>
        <v>6197</v>
      </c>
      <c r="AC21" s="28">
        <v>8177</v>
      </c>
      <c r="AD21" s="28">
        <f>[9]август!$G$57</f>
        <v>8177</v>
      </c>
      <c r="AE21" s="28">
        <f>[9]август!$G$57</f>
        <v>8177</v>
      </c>
      <c r="AF21" s="28">
        <f>[9]август!$G$57</f>
        <v>8177</v>
      </c>
      <c r="AG21" s="28">
        <v>8433</v>
      </c>
      <c r="AH21" s="28">
        <f>[10]сентябрь!$G$57</f>
        <v>8433</v>
      </c>
      <c r="AI21" s="28">
        <f>[10]сентябрь!$G$57</f>
        <v>8433</v>
      </c>
      <c r="AJ21" s="28">
        <f>[10]сентябрь!$G$57</f>
        <v>8433</v>
      </c>
      <c r="AK21" s="28">
        <v>5685</v>
      </c>
      <c r="AL21" s="28">
        <f>[11]октябрь!$G$57</f>
        <v>5685</v>
      </c>
      <c r="AM21" s="28">
        <f>[11]октябрь!$G$57</f>
        <v>5685</v>
      </c>
      <c r="AN21" s="28">
        <f>[11]октябрь!$G$57</f>
        <v>5685</v>
      </c>
      <c r="AO21" s="28">
        <v>13513</v>
      </c>
      <c r="AP21" s="28">
        <f>[12]ноябрь!$G$57</f>
        <v>13513</v>
      </c>
      <c r="AQ21" s="28">
        <f>[12]ноябрь!$G$57</f>
        <v>13513</v>
      </c>
      <c r="AR21" s="28">
        <f>[12]ноябрь!$G$57</f>
        <v>13513</v>
      </c>
      <c r="AS21" s="28">
        <v>4687</v>
      </c>
    </row>
    <row r="22" spans="1:45" x14ac:dyDescent="0.25">
      <c r="A22" s="50"/>
      <c r="B22" s="27" t="s">
        <v>15</v>
      </c>
      <c r="C22" s="27">
        <v>0.970672161580864</v>
      </c>
      <c r="D22" s="28">
        <v>503306</v>
      </c>
      <c r="E22" s="28"/>
      <c r="F22" s="28">
        <v>0.69585505913657664</v>
      </c>
      <c r="G22" s="28">
        <v>474750</v>
      </c>
      <c r="H22" s="28">
        <f>[3]февраль!$G$58</f>
        <v>474750</v>
      </c>
      <c r="I22" s="28">
        <f>[3]февраль!$G$58</f>
        <v>474750</v>
      </c>
      <c r="J22" s="28">
        <v>411667</v>
      </c>
      <c r="K22" s="28">
        <f>[4]март!$G$58</f>
        <v>411667</v>
      </c>
      <c r="L22" s="28">
        <f>[4]март!$G$58</f>
        <v>411667</v>
      </c>
      <c r="M22" s="28">
        <v>336185</v>
      </c>
      <c r="N22" s="28">
        <f>'[5]ИЭСК (испр)'!$G$58</f>
        <v>336185</v>
      </c>
      <c r="O22" s="28">
        <f>'[5]ИЭСК (испр)'!$G$58</f>
        <v>336185</v>
      </c>
      <c r="P22" s="28">
        <f>'[5]ИЭСК (испр)'!$G$58</f>
        <v>336185</v>
      </c>
      <c r="Q22" s="28">
        <v>232954</v>
      </c>
      <c r="R22" s="28">
        <f>[6]май!$G$58</f>
        <v>232954</v>
      </c>
      <c r="S22" s="28">
        <f>[6]май!$G$58</f>
        <v>232954</v>
      </c>
      <c r="T22" s="28">
        <f>[6]май!$G$58</f>
        <v>232954</v>
      </c>
      <c r="U22" s="28">
        <v>154917</v>
      </c>
      <c r="V22" s="28">
        <f>[7]июнь!$G$58</f>
        <v>154917</v>
      </c>
      <c r="W22" s="28">
        <f>[7]июнь!$G$58</f>
        <v>154917</v>
      </c>
      <c r="X22" s="28">
        <f>[7]июнь!$G$58</f>
        <v>154917</v>
      </c>
      <c r="Y22" s="28">
        <v>150277</v>
      </c>
      <c r="Z22" s="28">
        <f>[8]июль!$G$58</f>
        <v>150277</v>
      </c>
      <c r="AA22" s="28">
        <f>[8]июль!$G$58</f>
        <v>150277</v>
      </c>
      <c r="AB22" s="28">
        <f>[8]июль!$G$58</f>
        <v>150277</v>
      </c>
      <c r="AC22" s="28">
        <v>172092</v>
      </c>
      <c r="AD22" s="28">
        <f>[9]август!$G$58</f>
        <v>172092</v>
      </c>
      <c r="AE22" s="28">
        <f>[9]август!$G$58</f>
        <v>172092</v>
      </c>
      <c r="AF22" s="28">
        <f>[9]август!$G$58</f>
        <v>172092</v>
      </c>
      <c r="AG22" s="28">
        <v>264280.5</v>
      </c>
      <c r="AH22" s="28">
        <f>[10]сентябрь!$G$58</f>
        <v>264280.5</v>
      </c>
      <c r="AI22" s="28">
        <f>[10]сентябрь!$G$58</f>
        <v>264280.5</v>
      </c>
      <c r="AJ22" s="28">
        <f>[10]сентябрь!$G$58</f>
        <v>264280.5</v>
      </c>
      <c r="AK22" s="28">
        <v>319725.90000000002</v>
      </c>
      <c r="AL22" s="28">
        <f>[11]октябрь!$G$58</f>
        <v>319725.90000000002</v>
      </c>
      <c r="AM22" s="28">
        <f>[11]октябрь!$G$58</f>
        <v>319725.90000000002</v>
      </c>
      <c r="AN22" s="28">
        <f>[11]октябрь!$G$58</f>
        <v>319725.90000000002</v>
      </c>
      <c r="AO22" s="28">
        <v>417877.6</v>
      </c>
      <c r="AP22" s="28">
        <f>[12]ноябрь!$G$58</f>
        <v>417877.6</v>
      </c>
      <c r="AQ22" s="28">
        <f>[12]ноябрь!$G$58</f>
        <v>417877.6</v>
      </c>
      <c r="AR22" s="28">
        <f>[12]ноябрь!$G$58</f>
        <v>417877.6</v>
      </c>
      <c r="AS22" s="28">
        <v>578405</v>
      </c>
    </row>
    <row r="23" spans="1:45" ht="15" customHeight="1" x14ac:dyDescent="0.25">
      <c r="A23" s="50"/>
      <c r="B23" s="27" t="s">
        <v>16</v>
      </c>
      <c r="C23" s="27">
        <v>1.3192700282330698</v>
      </c>
      <c r="D23" s="28">
        <v>249041</v>
      </c>
      <c r="E23" s="28"/>
      <c r="F23" s="28">
        <v>0.94983949607092188</v>
      </c>
      <c r="G23" s="28">
        <v>221652</v>
      </c>
      <c r="H23" s="28">
        <f>[3]февраль!$G$59</f>
        <v>221652</v>
      </c>
      <c r="I23" s="28">
        <f>[3]февраль!$G$59</f>
        <v>221652</v>
      </c>
      <c r="J23" s="28">
        <v>192269</v>
      </c>
      <c r="K23" s="28">
        <f>[4]март!$G$59</f>
        <v>192269</v>
      </c>
      <c r="L23" s="28">
        <f>[4]март!$G$59</f>
        <v>192269</v>
      </c>
      <c r="M23" s="28">
        <v>152840</v>
      </c>
      <c r="N23" s="28">
        <f>'[5]ИЭСК (испр)'!$G$59</f>
        <v>152840</v>
      </c>
      <c r="O23" s="28">
        <f>'[5]ИЭСК (испр)'!$G$59</f>
        <v>152840</v>
      </c>
      <c r="P23" s="28">
        <f>'[5]ИЭСК (испр)'!$G$59</f>
        <v>152840</v>
      </c>
      <c r="Q23" s="28">
        <v>100460</v>
      </c>
      <c r="R23" s="28">
        <f>[6]май!$G$59</f>
        <v>100460</v>
      </c>
      <c r="S23" s="28">
        <f>[6]май!$G$59</f>
        <v>100460</v>
      </c>
      <c r="T23" s="28">
        <f>[6]май!$G$59</f>
        <v>100460</v>
      </c>
      <c r="U23" s="28">
        <v>62203</v>
      </c>
      <c r="V23" s="28">
        <f>[7]июнь!$G$59</f>
        <v>62203</v>
      </c>
      <c r="W23" s="28">
        <f>[7]июнь!$G$59</f>
        <v>62203</v>
      </c>
      <c r="X23" s="28">
        <f>[7]июнь!$G$59</f>
        <v>62203</v>
      </c>
      <c r="Y23" s="28">
        <v>52309</v>
      </c>
      <c r="Z23" s="28">
        <f>[8]июль!$G$59</f>
        <v>52309</v>
      </c>
      <c r="AA23" s="28">
        <f>[8]июль!$G$59</f>
        <v>52309</v>
      </c>
      <c r="AB23" s="28">
        <f>[8]июль!$G$59</f>
        <v>52309</v>
      </c>
      <c r="AC23" s="28">
        <v>64729</v>
      </c>
      <c r="AD23" s="28">
        <f>[9]август!$G$59</f>
        <v>64729</v>
      </c>
      <c r="AE23" s="28">
        <f>[9]август!$G$59</f>
        <v>64729</v>
      </c>
      <c r="AF23" s="28">
        <f>[9]август!$G$59</f>
        <v>64729</v>
      </c>
      <c r="AG23" s="28">
        <v>100872</v>
      </c>
      <c r="AH23" s="28">
        <f>[10]сентябрь!$G$59</f>
        <v>100872</v>
      </c>
      <c r="AI23" s="28">
        <f>[10]сентябрь!$G$59</f>
        <v>100872</v>
      </c>
      <c r="AJ23" s="28">
        <f>[10]сентябрь!$G$59</f>
        <v>100872</v>
      </c>
      <c r="AK23" s="28">
        <v>141259</v>
      </c>
      <c r="AL23" s="28">
        <f>[11]октябрь!$G$59</f>
        <v>141259</v>
      </c>
      <c r="AM23" s="28">
        <f>[11]октябрь!$G$59</f>
        <v>141259</v>
      </c>
      <c r="AN23" s="28">
        <f>[11]октябрь!$G$59</f>
        <v>141259</v>
      </c>
      <c r="AO23" s="28">
        <v>172898</v>
      </c>
      <c r="AP23" s="28">
        <f>[12]ноябрь!$G$59</f>
        <v>172898</v>
      </c>
      <c r="AQ23" s="28">
        <f>[12]ноябрь!$G$59</f>
        <v>172898</v>
      </c>
      <c r="AR23" s="28">
        <f>[12]ноябрь!$G$59</f>
        <v>172898</v>
      </c>
      <c r="AS23" s="28">
        <v>241591</v>
      </c>
    </row>
    <row r="24" spans="1:45" x14ac:dyDescent="0.25">
      <c r="A24" s="50"/>
      <c r="B24" s="52" t="s">
        <v>24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4"/>
    </row>
    <row r="25" spans="1:45" x14ac:dyDescent="0.25">
      <c r="A25" s="50"/>
      <c r="B25" s="29"/>
      <c r="C25" s="29">
        <v>1.4563111024693758</v>
      </c>
      <c r="D25" s="28">
        <v>1379400</v>
      </c>
      <c r="E25" s="28"/>
      <c r="F25" s="28">
        <v>0.93841230643028495</v>
      </c>
      <c r="G25" s="28">
        <v>1214889</v>
      </c>
      <c r="H25" s="28">
        <f>[3]февраль!$G$60+[3]февраль!$G$61</f>
        <v>1214889</v>
      </c>
      <c r="I25" s="28">
        <f>[3]февраль!$G$60+[3]февраль!$G$61</f>
        <v>1214889</v>
      </c>
      <c r="J25" s="28">
        <v>1018038</v>
      </c>
      <c r="K25" s="28">
        <f>[4]март!$G$60+[4]март!$G$61</f>
        <v>1018038</v>
      </c>
      <c r="L25" s="28">
        <f>[4]март!$G$60+[4]март!$G$61</f>
        <v>1018038</v>
      </c>
      <c r="M25" s="28">
        <v>911214</v>
      </c>
      <c r="N25" s="28">
        <f>'[5]ИЭСК (испр)'!$G$60+'[5]ИЭСК (испр)'!$G$61</f>
        <v>911214</v>
      </c>
      <c r="O25" s="28">
        <f>'[5]ИЭСК (испр)'!$G$60+'[5]ИЭСК (испр)'!$G$61</f>
        <v>911214</v>
      </c>
      <c r="P25" s="28">
        <f>'[5]ИЭСК (испр)'!$G$60+'[5]ИЭСК (испр)'!$G$61</f>
        <v>911214</v>
      </c>
      <c r="Q25" s="28">
        <v>654646</v>
      </c>
      <c r="R25" s="28">
        <f>[6]май!$G$60+[6]май!$G$61</f>
        <v>654646</v>
      </c>
      <c r="S25" s="28">
        <f>[6]май!$G$60+[6]май!$G$61</f>
        <v>654646</v>
      </c>
      <c r="T25" s="28">
        <f>[6]май!$G$60+[6]май!$G$61</f>
        <v>654646</v>
      </c>
      <c r="U25" s="28">
        <v>475476.99999999994</v>
      </c>
      <c r="V25" s="28">
        <f>[7]июнь!$G$60+[7]июнь!$G$61</f>
        <v>475476.99999999994</v>
      </c>
      <c r="W25" s="28">
        <f>[7]июнь!$G$60+[7]июнь!$G$61</f>
        <v>475476.99999999994</v>
      </c>
      <c r="X25" s="28">
        <f>[7]июнь!$G$60+[7]июнь!$G$61</f>
        <v>475476.99999999994</v>
      </c>
      <c r="Y25" s="28">
        <v>361148</v>
      </c>
      <c r="Z25" s="28">
        <f>[8]июль!$G$60+[8]июль!$G$61</f>
        <v>361148</v>
      </c>
      <c r="AA25" s="28">
        <f>[8]июль!$G$60+[8]июль!$G$61</f>
        <v>361148</v>
      </c>
      <c r="AB25" s="28">
        <f>[8]июль!$G$60+[8]июль!$G$61</f>
        <v>361148</v>
      </c>
      <c r="AC25" s="28">
        <v>384478</v>
      </c>
      <c r="AD25" s="28">
        <f>[9]август!$G$60+[9]август!$G$61</f>
        <v>384478</v>
      </c>
      <c r="AE25" s="28">
        <f>[9]август!$G$60+[9]август!$G$61</f>
        <v>384478</v>
      </c>
      <c r="AF25" s="28">
        <f>[9]август!$G$60+[9]август!$G$61</f>
        <v>384478</v>
      </c>
      <c r="AG25" s="28">
        <v>573199</v>
      </c>
      <c r="AH25" s="28">
        <f>[10]сентябрь!$G$60+[10]сентябрь!$G$61</f>
        <v>573199</v>
      </c>
      <c r="AI25" s="28">
        <f>[10]сентябрь!$G$60+[10]сентябрь!$G$61</f>
        <v>573199</v>
      </c>
      <c r="AJ25" s="28">
        <f>[10]сентябрь!$G$60+[10]сентябрь!$G$61</f>
        <v>573199</v>
      </c>
      <c r="AK25" s="28">
        <v>727895</v>
      </c>
      <c r="AL25" s="28">
        <f>[11]октябрь!$G$60+[11]октябрь!$G$61</f>
        <v>727895</v>
      </c>
      <c r="AM25" s="28">
        <f>[11]октябрь!$G$60+[11]октябрь!$G$61</f>
        <v>727895</v>
      </c>
      <c r="AN25" s="28">
        <f>[11]октябрь!$G$60+[11]октябрь!$G$61</f>
        <v>727895</v>
      </c>
      <c r="AO25" s="28">
        <v>929746</v>
      </c>
      <c r="AP25" s="28">
        <f>[12]ноябрь!$G$60+[12]ноябрь!$G$61</f>
        <v>929746</v>
      </c>
      <c r="AQ25" s="28">
        <f>[12]ноябрь!$G$60+[12]ноябрь!$G$61</f>
        <v>929746</v>
      </c>
      <c r="AR25" s="28">
        <f>[12]ноябрь!$G$60+[12]ноябрь!$G$61</f>
        <v>929746</v>
      </c>
      <c r="AS25" s="28">
        <v>1246296</v>
      </c>
    </row>
    <row r="26" spans="1:45" x14ac:dyDescent="0.25">
      <c r="A26" s="51"/>
      <c r="B26" s="30" t="s">
        <v>17</v>
      </c>
      <c r="C26" s="30"/>
      <c r="D26" s="31">
        <f t="shared" ref="D26:M26" si="3">SUM(D20:D23,D25)</f>
        <v>2137018</v>
      </c>
      <c r="E26" s="31"/>
      <c r="F26" s="31"/>
      <c r="G26" s="31">
        <f>SUM(G20:G23,G25)</f>
        <v>1916441</v>
      </c>
      <c r="H26" s="31"/>
      <c r="I26" s="31"/>
      <c r="J26" s="31">
        <f>SUM(J20:J23,J25)</f>
        <v>1626637</v>
      </c>
      <c r="K26" s="31"/>
      <c r="L26" s="31"/>
      <c r="M26" s="31">
        <f t="shared" si="3"/>
        <v>1405785</v>
      </c>
      <c r="N26" s="31"/>
      <c r="O26" s="31"/>
      <c r="P26" s="31"/>
      <c r="Q26" s="31">
        <f>SUM(Q20:Q23,Q25)</f>
        <v>993146</v>
      </c>
      <c r="R26" s="31"/>
      <c r="S26" s="31"/>
      <c r="T26" s="31"/>
      <c r="U26" s="31">
        <f t="shared" ref="U26:AS26" si="4">SUM(U20:U23,U25)</f>
        <v>700119</v>
      </c>
      <c r="V26" s="31"/>
      <c r="W26" s="31"/>
      <c r="X26" s="31"/>
      <c r="Y26" s="31">
        <f t="shared" si="4"/>
        <v>569931</v>
      </c>
      <c r="Z26" s="31"/>
      <c r="AA26" s="31"/>
      <c r="AB26" s="31"/>
      <c r="AC26" s="31">
        <f t="shared" si="4"/>
        <v>629476</v>
      </c>
      <c r="AD26" s="31"/>
      <c r="AE26" s="31"/>
      <c r="AF26" s="31"/>
      <c r="AG26" s="31">
        <f t="shared" si="4"/>
        <v>946784.5</v>
      </c>
      <c r="AH26" s="31"/>
      <c r="AI26" s="31"/>
      <c r="AJ26" s="31"/>
      <c r="AK26" s="31">
        <f>SUM(AK20:AK23,AK25)</f>
        <v>1194564.8999999999</v>
      </c>
      <c r="AL26" s="31"/>
      <c r="AM26" s="31"/>
      <c r="AN26" s="31"/>
      <c r="AO26" s="31">
        <f t="shared" si="4"/>
        <v>1534034.6</v>
      </c>
      <c r="AP26" s="31"/>
      <c r="AQ26" s="31"/>
      <c r="AR26" s="31"/>
      <c r="AS26" s="31">
        <f t="shared" si="4"/>
        <v>2070979</v>
      </c>
    </row>
    <row r="27" spans="1:45" x14ac:dyDescent="0.25">
      <c r="A27" s="49" t="s">
        <v>33</v>
      </c>
      <c r="B27" s="52" t="s">
        <v>18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4"/>
    </row>
    <row r="28" spans="1:45" x14ac:dyDescent="0.25">
      <c r="A28" s="50"/>
      <c r="B28" s="27" t="s">
        <v>14</v>
      </c>
      <c r="C28" s="27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</row>
    <row r="29" spans="1:45" x14ac:dyDescent="0.25">
      <c r="A29" s="50"/>
      <c r="B29" s="27" t="s">
        <v>22</v>
      </c>
      <c r="C29" s="27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</row>
    <row r="30" spans="1:45" x14ac:dyDescent="0.25">
      <c r="A30" s="50"/>
      <c r="B30" s="27" t="s">
        <v>15</v>
      </c>
      <c r="C30" s="27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</row>
    <row r="31" spans="1:45" ht="15" customHeight="1" x14ac:dyDescent="0.25">
      <c r="A31" s="50"/>
      <c r="B31" s="27" t="s">
        <v>16</v>
      </c>
      <c r="C31" s="27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</row>
    <row r="32" spans="1:45" x14ac:dyDescent="0.25">
      <c r="A32" s="50"/>
      <c r="B32" s="52" t="s">
        <v>24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4"/>
    </row>
    <row r="33" spans="1:45" x14ac:dyDescent="0.25">
      <c r="A33" s="50"/>
      <c r="B33" s="29"/>
      <c r="C33" s="29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</row>
    <row r="34" spans="1:45" x14ac:dyDescent="0.25">
      <c r="A34" s="51"/>
      <c r="B34" s="30" t="s">
        <v>17</v>
      </c>
      <c r="C34" s="30"/>
      <c r="D34" s="31">
        <f t="shared" ref="D34:M34" si="5">SUM(D28:D31,D33)</f>
        <v>0</v>
      </c>
      <c r="E34" s="31"/>
      <c r="F34" s="31"/>
      <c r="G34" s="31">
        <f t="shared" si="5"/>
        <v>0</v>
      </c>
      <c r="H34" s="31"/>
      <c r="I34" s="31"/>
      <c r="J34" s="31">
        <f>SUM(J28:J31,J33)</f>
        <v>0</v>
      </c>
      <c r="K34" s="31"/>
      <c r="L34" s="31"/>
      <c r="M34" s="31">
        <f t="shared" si="5"/>
        <v>0</v>
      </c>
      <c r="N34" s="31"/>
      <c r="O34" s="31"/>
      <c r="P34" s="31"/>
      <c r="Q34" s="31">
        <f>SUM(Q28:Q31,Q33)</f>
        <v>0</v>
      </c>
      <c r="R34" s="31"/>
      <c r="S34" s="31"/>
      <c r="T34" s="31"/>
      <c r="U34" s="31">
        <f>SUM(U28:U31,U33)</f>
        <v>0</v>
      </c>
      <c r="V34" s="31"/>
      <c r="W34" s="31"/>
      <c r="X34" s="31"/>
      <c r="Y34" s="31">
        <f>SUM(Y28:Y31,Y33)</f>
        <v>0</v>
      </c>
      <c r="Z34" s="31"/>
      <c r="AA34" s="31"/>
      <c r="AB34" s="31"/>
      <c r="AC34" s="31">
        <f>SUM(AC28:AC31,AC33)</f>
        <v>0</v>
      </c>
      <c r="AD34" s="31"/>
      <c r="AE34" s="31"/>
      <c r="AF34" s="31"/>
      <c r="AG34" s="31">
        <f t="shared" ref="AG34" si="6">SUM(AG28:AG31,AG33)</f>
        <v>0</v>
      </c>
      <c r="AH34" s="31"/>
      <c r="AI34" s="31"/>
      <c r="AJ34" s="31"/>
      <c r="AK34" s="31">
        <f>SUM(AK28:AK31,AK33)</f>
        <v>0</v>
      </c>
      <c r="AL34" s="31"/>
      <c r="AM34" s="31"/>
      <c r="AN34" s="31"/>
      <c r="AO34" s="31">
        <f t="shared" ref="AO34:AS34" si="7">SUM(AO28:AO31,AO33)</f>
        <v>0</v>
      </c>
      <c r="AP34" s="31"/>
      <c r="AQ34" s="31"/>
      <c r="AR34" s="31"/>
      <c r="AS34" s="31">
        <f t="shared" si="7"/>
        <v>0</v>
      </c>
    </row>
    <row r="36" spans="1:45" x14ac:dyDescent="0.25">
      <c r="M36" s="35"/>
      <c r="N36" s="35"/>
      <c r="O36" s="35"/>
      <c r="P36" s="35"/>
      <c r="Q36" s="35"/>
      <c r="R36" s="35">
        <f>R11+R18+R26-[6]май!$G$27-[6]май!$G$28-[6]май!$G$29-[6]май!$G$30-[6]май!$G$31-[6]май!$G$37-[6]май!$G$39-[6]май!$G$41-[6]май!$G$62</f>
        <v>-275828846</v>
      </c>
      <c r="S36" s="35">
        <f>S11+S18+S26-[6]май!$G$27-[6]май!$G$28-[6]май!$G$29-[6]май!$G$30-[6]май!$G$31-[6]май!$G$37-[6]май!$G$39-[6]май!$G$41-[6]май!$G$62</f>
        <v>-275828846</v>
      </c>
      <c r="T36" s="35"/>
      <c r="U36" s="35"/>
      <c r="AK36" s="35"/>
    </row>
    <row r="37" spans="1:45" x14ac:dyDescent="0.25">
      <c r="J37" s="35"/>
      <c r="M37" s="35"/>
      <c r="N37" s="35"/>
      <c r="O37" s="35"/>
      <c r="P37" s="35"/>
      <c r="Q37" s="35"/>
      <c r="R37" s="35">
        <f t="shared" ref="R37" si="8">R36-R18</f>
        <v>-275828846</v>
      </c>
      <c r="S37" s="35">
        <f t="shared" ref="S37" si="9">S36-S18</f>
        <v>-275828846</v>
      </c>
      <c r="T37" s="35"/>
      <c r="U37" s="35"/>
      <c r="Y37" s="35"/>
      <c r="Z37" s="35"/>
      <c r="AA37" s="35"/>
      <c r="AB37" s="35"/>
      <c r="AC37" s="35"/>
      <c r="AK37" s="35"/>
      <c r="AS37" s="35"/>
    </row>
    <row r="38" spans="1:45" x14ac:dyDescent="0.25">
      <c r="U38" s="35"/>
    </row>
  </sheetData>
  <mergeCells count="12">
    <mergeCell ref="A19:A26"/>
    <mergeCell ref="B19:AS19"/>
    <mergeCell ref="B24:AS24"/>
    <mergeCell ref="A27:A34"/>
    <mergeCell ref="B27:AS27"/>
    <mergeCell ref="B32:AS32"/>
    <mergeCell ref="A18:B18"/>
    <mergeCell ref="A2:AS2"/>
    <mergeCell ref="A4:A11"/>
    <mergeCell ref="B4:AS4"/>
    <mergeCell ref="B9:AS9"/>
    <mergeCell ref="A12:A1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zoomScale="85" zoomScaleNormal="85" workbookViewId="0">
      <pane xSplit="2" ySplit="4" topLeftCell="K5" activePane="bottomRight" state="frozen"/>
      <selection pane="topRight" activeCell="C1" sqref="C1"/>
      <selection pane="bottomLeft" activeCell="A5" sqref="A5"/>
      <selection pane="bottomRight" sqref="A1:XFD1048576"/>
    </sheetView>
  </sheetViews>
  <sheetFormatPr defaultColWidth="9.140625" defaultRowHeight="15" x14ac:dyDescent="0.25"/>
  <cols>
    <col min="1" max="1" width="17.42578125" style="23" customWidth="1"/>
    <col min="2" max="2" width="15.5703125" style="23" customWidth="1"/>
    <col min="3" max="3" width="17.42578125" style="23" customWidth="1"/>
    <col min="4" max="4" width="21" style="23" customWidth="1"/>
    <col min="5" max="5" width="18.42578125" style="23" customWidth="1"/>
    <col min="6" max="6" width="18" style="23" customWidth="1"/>
    <col min="7" max="7" width="17.5703125" style="23" customWidth="1"/>
    <col min="8" max="8" width="17.28515625" style="23" customWidth="1"/>
    <col min="9" max="9" width="17.7109375" style="23" customWidth="1"/>
    <col min="10" max="10" width="15.85546875" style="23" customWidth="1"/>
    <col min="11" max="11" width="17.140625" style="23" customWidth="1"/>
    <col min="12" max="12" width="18.28515625" style="23" customWidth="1"/>
    <col min="13" max="14" width="17.7109375" style="23" customWidth="1"/>
    <col min="15" max="15" width="11.28515625" style="23" bestFit="1" customWidth="1"/>
    <col min="16" max="16384" width="9.140625" style="23"/>
  </cols>
  <sheetData>
    <row r="1" spans="1:15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5" x14ac:dyDescent="0.25">
      <c r="A2" s="57" t="s">
        <v>37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5" ht="28.5" x14ac:dyDescent="0.25">
      <c r="A3" s="24" t="s">
        <v>0</v>
      </c>
      <c r="B3" s="25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  <c r="K3" s="26" t="s">
        <v>10</v>
      </c>
      <c r="L3" s="26" t="s">
        <v>11</v>
      </c>
      <c r="M3" s="26" t="s">
        <v>12</v>
      </c>
      <c r="N3" s="26" t="s">
        <v>13</v>
      </c>
    </row>
    <row r="4" spans="1:15" x14ac:dyDescent="0.25">
      <c r="A4" s="49" t="s">
        <v>23</v>
      </c>
      <c r="B4" s="52" t="s">
        <v>18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37"/>
    </row>
    <row r="5" spans="1:15" x14ac:dyDescent="0.25">
      <c r="A5" s="50"/>
      <c r="B5" s="27" t="s">
        <v>14</v>
      </c>
      <c r="C5" s="28">
        <v>311594154</v>
      </c>
      <c r="D5" s="28">
        <v>274307972</v>
      </c>
      <c r="E5" s="28">
        <v>300025006</v>
      </c>
      <c r="F5" s="28">
        <v>286802691</v>
      </c>
      <c r="G5" s="28">
        <v>268642400</v>
      </c>
      <c r="H5" s="28">
        <v>253741662</v>
      </c>
      <c r="I5" s="28">
        <v>268164490</v>
      </c>
      <c r="J5" s="28">
        <v>261924911</v>
      </c>
      <c r="K5" s="28">
        <v>262238419</v>
      </c>
      <c r="L5" s="28">
        <v>288836158</v>
      </c>
      <c r="M5" s="28">
        <v>295497359</v>
      </c>
      <c r="N5" s="28">
        <v>303325774</v>
      </c>
      <c r="O5" s="38">
        <f>[23]август!$G$28</f>
        <v>261924911</v>
      </c>
    </row>
    <row r="6" spans="1:15" x14ac:dyDescent="0.25">
      <c r="A6" s="50"/>
      <c r="B6" s="27" t="s">
        <v>22</v>
      </c>
      <c r="C6" s="28">
        <v>3905849</v>
      </c>
      <c r="D6" s="28">
        <v>3409871</v>
      </c>
      <c r="E6" s="28">
        <v>3160566</v>
      </c>
      <c r="F6" s="28">
        <v>2710426</v>
      </c>
      <c r="G6" s="28">
        <v>2039292</v>
      </c>
      <c r="H6" s="28">
        <v>1174196</v>
      </c>
      <c r="I6" s="28">
        <v>1171470</v>
      </c>
      <c r="J6" s="28">
        <v>965400</v>
      </c>
      <c r="K6" s="28">
        <v>1679947</v>
      </c>
      <c r="L6" s="28">
        <v>2405946</v>
      </c>
      <c r="M6" s="28">
        <v>3073834</v>
      </c>
      <c r="N6" s="28">
        <v>4001503</v>
      </c>
      <c r="O6" s="38">
        <f>[23]август!$G$29+[23]август!$G$37</f>
        <v>965400</v>
      </c>
    </row>
    <row r="7" spans="1:15" x14ac:dyDescent="0.25">
      <c r="A7" s="50"/>
      <c r="B7" s="27" t="s">
        <v>15</v>
      </c>
      <c r="C7" s="28">
        <v>9773869</v>
      </c>
      <c r="D7" s="28">
        <v>9420870.3100000005</v>
      </c>
      <c r="E7" s="28">
        <v>7607901.9800000004</v>
      </c>
      <c r="F7" s="28">
        <v>6810996.71</v>
      </c>
      <c r="G7" s="28">
        <v>5972227.9160000002</v>
      </c>
      <c r="H7" s="28">
        <v>4633666.6399999997</v>
      </c>
      <c r="I7" s="28">
        <v>4447004.3600000003</v>
      </c>
      <c r="J7" s="28">
        <v>4753277</v>
      </c>
      <c r="K7" s="28">
        <v>5067810</v>
      </c>
      <c r="L7" s="28">
        <v>6490980</v>
      </c>
      <c r="M7" s="28">
        <v>8620719</v>
      </c>
      <c r="N7" s="28">
        <v>10026387</v>
      </c>
      <c r="O7" s="38">
        <f>[23]август!$G$30+[23]август!$G$39</f>
        <v>4753277</v>
      </c>
    </row>
    <row r="8" spans="1:15" x14ac:dyDescent="0.25">
      <c r="A8" s="50"/>
      <c r="B8" s="27" t="s">
        <v>16</v>
      </c>
      <c r="C8" s="28">
        <v>1005453</v>
      </c>
      <c r="D8" s="28">
        <v>953981</v>
      </c>
      <c r="E8" s="28">
        <v>746682</v>
      </c>
      <c r="F8" s="28">
        <v>759196</v>
      </c>
      <c r="G8" s="28">
        <v>611395</v>
      </c>
      <c r="H8" s="28">
        <v>569582</v>
      </c>
      <c r="I8" s="28">
        <v>449669</v>
      </c>
      <c r="J8" s="28">
        <v>509804</v>
      </c>
      <c r="K8" s="28">
        <v>541322</v>
      </c>
      <c r="L8" s="28">
        <v>754650</v>
      </c>
      <c r="M8" s="28">
        <v>960853</v>
      </c>
      <c r="N8" s="28">
        <v>1165235</v>
      </c>
      <c r="O8" s="38">
        <f>[23]август!$G$31+[23]август!$G$41</f>
        <v>509804</v>
      </c>
    </row>
    <row r="9" spans="1:15" x14ac:dyDescent="0.25">
      <c r="A9" s="50"/>
      <c r="B9" s="52" t="s">
        <v>24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4"/>
      <c r="O9" s="39"/>
    </row>
    <row r="10" spans="1:15" x14ac:dyDescent="0.25">
      <c r="A10" s="50"/>
      <c r="B10" s="29"/>
      <c r="C10" s="28">
        <v>9136668</v>
      </c>
      <c r="D10" s="28">
        <v>8700604</v>
      </c>
      <c r="E10" s="28">
        <v>7337187</v>
      </c>
      <c r="F10" s="28">
        <v>6746414</v>
      </c>
      <c r="G10" s="28">
        <v>6091870.0899999999</v>
      </c>
      <c r="H10" s="28">
        <v>5235947.7299999995</v>
      </c>
      <c r="I10" s="28">
        <v>4318734.7300000004</v>
      </c>
      <c r="J10" s="28">
        <v>4580267</v>
      </c>
      <c r="K10" s="28">
        <v>5099023.7300000004</v>
      </c>
      <c r="L10" s="28">
        <v>5236819</v>
      </c>
      <c r="M10" s="28">
        <v>7188756.7300000004</v>
      </c>
      <c r="N10" s="28">
        <v>8950018</v>
      </c>
      <c r="O10" s="38">
        <f>[23]август!$G$27</f>
        <v>4580267</v>
      </c>
    </row>
    <row r="11" spans="1:15" x14ac:dyDescent="0.25">
      <c r="A11" s="51"/>
      <c r="B11" s="30" t="s">
        <v>17</v>
      </c>
      <c r="C11" s="31">
        <f t="shared" ref="C11:D11" si="0">SUM(C5:C8,C10)</f>
        <v>335415993</v>
      </c>
      <c r="D11" s="31">
        <f t="shared" si="0"/>
        <v>296793298.31</v>
      </c>
      <c r="E11" s="31">
        <f>SUM(E5:E8,E10)</f>
        <v>318877342.98000002</v>
      </c>
      <c r="F11" s="31">
        <f>SUM(F5:F8,F10)</f>
        <v>303829723.70999998</v>
      </c>
      <c r="G11" s="31">
        <f>SUM(G5:G8,G10)</f>
        <v>283357185.00599998</v>
      </c>
      <c r="H11" s="31">
        <f>SUM(H5:H8,H10)</f>
        <v>265355054.36999997</v>
      </c>
      <c r="I11" s="31">
        <f t="shared" ref="I11:N11" si="1">SUM(I5:I8,I10)</f>
        <v>278551368.09000003</v>
      </c>
      <c r="J11" s="31">
        <f t="shared" si="1"/>
        <v>272733659</v>
      </c>
      <c r="K11" s="31">
        <f t="shared" si="1"/>
        <v>274626521.73000002</v>
      </c>
      <c r="L11" s="31">
        <f t="shared" si="1"/>
        <v>303724553</v>
      </c>
      <c r="M11" s="31">
        <f t="shared" si="1"/>
        <v>315341521.73000002</v>
      </c>
      <c r="N11" s="31">
        <f t="shared" si="1"/>
        <v>327468917</v>
      </c>
      <c r="O11" s="39">
        <f>'2022'!AC11/'2021'!U11</f>
        <v>1.033774429264924</v>
      </c>
    </row>
    <row r="12" spans="1:15" ht="23.25" customHeight="1" x14ac:dyDescent="0.25">
      <c r="A12" s="49" t="s">
        <v>34</v>
      </c>
      <c r="B12" s="32" t="s">
        <v>14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39"/>
    </row>
    <row r="13" spans="1:15" ht="18.75" customHeight="1" x14ac:dyDescent="0.25">
      <c r="A13" s="50"/>
      <c r="B13" s="32" t="s">
        <v>22</v>
      </c>
      <c r="C13" s="28">
        <v>70918</v>
      </c>
      <c r="D13" s="28">
        <v>78178</v>
      </c>
      <c r="E13" s="28">
        <v>70630</v>
      </c>
      <c r="F13" s="28">
        <v>58252</v>
      </c>
      <c r="G13" s="28">
        <v>68346</v>
      </c>
      <c r="H13" s="28">
        <v>33736</v>
      </c>
      <c r="I13" s="28">
        <v>28996</v>
      </c>
      <c r="J13" s="28">
        <v>29938</v>
      </c>
      <c r="K13" s="28">
        <v>37418</v>
      </c>
      <c r="L13" s="28">
        <v>72086</v>
      </c>
      <c r="M13" s="28">
        <v>129217.99999999999</v>
      </c>
      <c r="N13" s="28">
        <v>160633</v>
      </c>
      <c r="O13" s="38">
        <f>'[24]август 2023'!$B$12*1000</f>
        <v>29938</v>
      </c>
    </row>
    <row r="14" spans="1:15" ht="17.25" customHeight="1" x14ac:dyDescent="0.25">
      <c r="A14" s="50"/>
      <c r="B14" s="32" t="s">
        <v>15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38"/>
    </row>
    <row r="15" spans="1:15" ht="19.5" customHeight="1" x14ac:dyDescent="0.25">
      <c r="A15" s="50"/>
      <c r="B15" s="32" t="s">
        <v>16</v>
      </c>
      <c r="C15" s="28">
        <v>5067</v>
      </c>
      <c r="D15" s="28">
        <v>3958</v>
      </c>
      <c r="E15" s="28">
        <v>3839</v>
      </c>
      <c r="F15" s="28">
        <v>2281</v>
      </c>
      <c r="G15" s="28">
        <v>2308</v>
      </c>
      <c r="H15" s="28">
        <v>3032</v>
      </c>
      <c r="I15" s="28">
        <v>3004</v>
      </c>
      <c r="J15" s="28">
        <v>3501</v>
      </c>
      <c r="K15" s="28">
        <v>3194</v>
      </c>
      <c r="L15" s="28">
        <v>2675</v>
      </c>
      <c r="M15" s="28">
        <v>3469</v>
      </c>
      <c r="N15" s="28">
        <v>4871</v>
      </c>
      <c r="O15" s="38">
        <f>'[24]август 2023'!$B$14*1000</f>
        <v>3501</v>
      </c>
    </row>
    <row r="16" spans="1:15" ht="17.25" customHeight="1" x14ac:dyDescent="0.25">
      <c r="A16" s="50"/>
      <c r="B16" s="32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8"/>
    </row>
    <row r="17" spans="1:15" ht="23.25" customHeight="1" x14ac:dyDescent="0.25">
      <c r="A17" s="51"/>
      <c r="B17" s="32" t="s">
        <v>24</v>
      </c>
      <c r="C17" s="28">
        <v>27073</v>
      </c>
      <c r="D17" s="28">
        <v>23764</v>
      </c>
      <c r="E17" s="28">
        <v>24825</v>
      </c>
      <c r="F17" s="28">
        <v>23929</v>
      </c>
      <c r="G17" s="28">
        <v>19481</v>
      </c>
      <c r="H17" s="28">
        <v>15128</v>
      </c>
      <c r="I17" s="28">
        <v>14310</v>
      </c>
      <c r="J17" s="28">
        <v>13516</v>
      </c>
      <c r="K17" s="28">
        <v>15620</v>
      </c>
      <c r="L17" s="28">
        <v>18764</v>
      </c>
      <c r="M17" s="28">
        <v>27423</v>
      </c>
      <c r="N17" s="28">
        <v>39366</v>
      </c>
      <c r="O17" s="38">
        <f>'[24]август 2023'!$D$14*1000</f>
        <v>13516</v>
      </c>
    </row>
    <row r="18" spans="1:15" ht="18.75" customHeight="1" x14ac:dyDescent="0.25">
      <c r="A18" s="55" t="s">
        <v>17</v>
      </c>
      <c r="B18" s="56"/>
      <c r="C18" s="31">
        <f t="shared" ref="C18:J18" si="2">SUM(C12:C15,C17)</f>
        <v>103058</v>
      </c>
      <c r="D18" s="31">
        <f t="shared" si="2"/>
        <v>105900</v>
      </c>
      <c r="E18" s="31">
        <f>SUM(E12:E15,E17)</f>
        <v>99294</v>
      </c>
      <c r="F18" s="31">
        <f t="shared" si="2"/>
        <v>84462</v>
      </c>
      <c r="G18" s="31">
        <f t="shared" si="2"/>
        <v>90135</v>
      </c>
      <c r="H18" s="31">
        <f>SUM(H12:H15,H17)</f>
        <v>51896</v>
      </c>
      <c r="I18" s="31">
        <f t="shared" si="2"/>
        <v>46310</v>
      </c>
      <c r="J18" s="31">
        <f t="shared" si="2"/>
        <v>46955</v>
      </c>
      <c r="K18" s="31">
        <f>SUM(K12:K15,K17)</f>
        <v>56232</v>
      </c>
      <c r="L18" s="31">
        <f>SUM(L12:L15,L17)</f>
        <v>93525</v>
      </c>
      <c r="M18" s="31">
        <f>SUM(M12:M15,M17)</f>
        <v>160110</v>
      </c>
      <c r="N18" s="31">
        <f>SUM(N12:N15,N17)</f>
        <v>204870</v>
      </c>
      <c r="O18" s="39">
        <f>'2022'!AC18/'2021'!U18</f>
        <v>1.0167279629849331</v>
      </c>
    </row>
    <row r="19" spans="1:15" x14ac:dyDescent="0.25">
      <c r="A19" s="49" t="s">
        <v>28</v>
      </c>
      <c r="B19" s="52" t="s">
        <v>18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4"/>
      <c r="O19" s="39"/>
    </row>
    <row r="20" spans="1:15" x14ac:dyDescent="0.25">
      <c r="A20" s="50"/>
      <c r="B20" s="27" t="s">
        <v>14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39"/>
    </row>
    <row r="21" spans="1:15" x14ac:dyDescent="0.25">
      <c r="A21" s="50"/>
      <c r="B21" s="27" t="s">
        <v>22</v>
      </c>
      <c r="C21" s="28">
        <v>4946</v>
      </c>
      <c r="D21" s="28">
        <v>5144</v>
      </c>
      <c r="E21" s="28">
        <v>4500</v>
      </c>
      <c r="F21" s="28">
        <v>5122</v>
      </c>
      <c r="G21" s="28">
        <v>1237</v>
      </c>
      <c r="H21" s="28">
        <v>0</v>
      </c>
      <c r="I21" s="28">
        <f>H21*$O$26</f>
        <v>0</v>
      </c>
      <c r="J21" s="28">
        <v>0</v>
      </c>
      <c r="K21" s="28"/>
      <c r="L21" s="28"/>
      <c r="M21" s="28"/>
      <c r="N21" s="28"/>
      <c r="O21" s="39"/>
    </row>
    <row r="22" spans="1:15" x14ac:dyDescent="0.25">
      <c r="A22" s="50"/>
      <c r="B22" s="27" t="s">
        <v>15</v>
      </c>
      <c r="C22" s="28">
        <v>590510</v>
      </c>
      <c r="D22" s="28">
        <v>516610.69</v>
      </c>
      <c r="E22" s="28">
        <v>474925.02</v>
      </c>
      <c r="F22" s="28">
        <v>397153.29</v>
      </c>
      <c r="G22" s="28">
        <v>315149.69</v>
      </c>
      <c r="H22" s="28">
        <v>179659.36</v>
      </c>
      <c r="I22" s="28">
        <v>134233.64000000001</v>
      </c>
      <c r="J22" s="28">
        <v>189580</v>
      </c>
      <c r="K22" s="28">
        <v>192598</v>
      </c>
      <c r="L22" s="28">
        <v>307527</v>
      </c>
      <c r="M22" s="28">
        <v>432298</v>
      </c>
      <c r="N22" s="28">
        <v>551777</v>
      </c>
      <c r="O22" s="38">
        <f>[23]август!$G$58</f>
        <v>189580</v>
      </c>
    </row>
    <row r="23" spans="1:15" ht="15" customHeight="1" x14ac:dyDescent="0.25">
      <c r="A23" s="50"/>
      <c r="B23" s="27" t="s">
        <v>16</v>
      </c>
      <c r="C23" s="28">
        <v>255442</v>
      </c>
      <c r="D23" s="28">
        <v>232549</v>
      </c>
      <c r="E23" s="28">
        <v>196104</v>
      </c>
      <c r="F23" s="28">
        <v>176581</v>
      </c>
      <c r="G23" s="28">
        <v>126878</v>
      </c>
      <c r="H23" s="28">
        <v>66056</v>
      </c>
      <c r="I23" s="28">
        <v>55406</v>
      </c>
      <c r="J23" s="28">
        <v>59255</v>
      </c>
      <c r="K23" s="28">
        <v>77774</v>
      </c>
      <c r="L23" s="28">
        <v>131602</v>
      </c>
      <c r="M23" s="28">
        <v>193771</v>
      </c>
      <c r="N23" s="28">
        <v>275367</v>
      </c>
      <c r="O23" s="38">
        <f>[23]август!$G$59</f>
        <v>59255</v>
      </c>
    </row>
    <row r="24" spans="1:15" x14ac:dyDescent="0.25">
      <c r="A24" s="50"/>
      <c r="B24" s="52" t="s">
        <v>24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4"/>
      <c r="O24" s="39"/>
    </row>
    <row r="25" spans="1:15" x14ac:dyDescent="0.25">
      <c r="A25" s="50"/>
      <c r="B25" s="29"/>
      <c r="C25" s="28">
        <v>1533638.9999999998</v>
      </c>
      <c r="D25" s="28">
        <v>1220646.9999999998</v>
      </c>
      <c r="E25" s="28">
        <v>1095238</v>
      </c>
      <c r="F25" s="28">
        <v>929004</v>
      </c>
      <c r="G25" s="28">
        <v>712379</v>
      </c>
      <c r="H25" s="28">
        <v>492615</v>
      </c>
      <c r="I25" s="28">
        <v>376096</v>
      </c>
      <c r="J25" s="28">
        <v>315700</v>
      </c>
      <c r="K25" s="28">
        <v>451140</v>
      </c>
      <c r="L25" s="28">
        <v>717132</v>
      </c>
      <c r="M25" s="28">
        <v>1057827</v>
      </c>
      <c r="N25" s="28">
        <v>1426421</v>
      </c>
      <c r="O25" s="38">
        <f>[23]август!$G$60+[23]август!$G$61</f>
        <v>315700</v>
      </c>
    </row>
    <row r="26" spans="1:15" x14ac:dyDescent="0.25">
      <c r="A26" s="51"/>
      <c r="B26" s="30" t="s">
        <v>17</v>
      </c>
      <c r="C26" s="31">
        <f t="shared" ref="C26:F26" si="3">SUM(C20:C23,C25)</f>
        <v>2384537</v>
      </c>
      <c r="D26" s="31">
        <f>SUM(D20:D23,D25)</f>
        <v>1974950.6899999997</v>
      </c>
      <c r="E26" s="31">
        <f>SUM(E20:E23,E25)</f>
        <v>1770767.02</v>
      </c>
      <c r="F26" s="31">
        <f t="shared" si="3"/>
        <v>1507860.29</v>
      </c>
      <c r="G26" s="31">
        <f>SUM(G20:G23,G25)</f>
        <v>1155643.69</v>
      </c>
      <c r="H26" s="31">
        <f t="shared" ref="H26:N26" si="4">SUM(H20:H23,H25)</f>
        <v>738330.36</v>
      </c>
      <c r="I26" s="31">
        <f t="shared" si="4"/>
        <v>565735.64</v>
      </c>
      <c r="J26" s="31">
        <f t="shared" si="4"/>
        <v>564535</v>
      </c>
      <c r="K26" s="31">
        <f t="shared" si="4"/>
        <v>721512</v>
      </c>
      <c r="L26" s="31">
        <f>SUM(L20:L23,L25)</f>
        <v>1156261</v>
      </c>
      <c r="M26" s="31">
        <f t="shared" si="4"/>
        <v>1683896</v>
      </c>
      <c r="N26" s="31">
        <f t="shared" si="4"/>
        <v>2253565</v>
      </c>
      <c r="O26" s="34">
        <f>'2022'!AC26/'2021'!U26</f>
        <v>1.0380130074007625</v>
      </c>
    </row>
    <row r="27" spans="1:15" hidden="1" x14ac:dyDescent="0.25">
      <c r="A27" s="49" t="s">
        <v>33</v>
      </c>
      <c r="B27" s="52" t="s">
        <v>18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4"/>
      <c r="O27" s="34"/>
    </row>
    <row r="28" spans="1:15" hidden="1" x14ac:dyDescent="0.25">
      <c r="A28" s="50"/>
      <c r="B28" s="27" t="s">
        <v>14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34"/>
    </row>
    <row r="29" spans="1:15" hidden="1" x14ac:dyDescent="0.25">
      <c r="A29" s="50"/>
      <c r="B29" s="27" t="s">
        <v>22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34"/>
    </row>
    <row r="30" spans="1:15" hidden="1" x14ac:dyDescent="0.25">
      <c r="A30" s="50"/>
      <c r="B30" s="27" t="s">
        <v>15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34"/>
    </row>
    <row r="31" spans="1:15" ht="15" hidden="1" customHeight="1" x14ac:dyDescent="0.25">
      <c r="A31" s="50"/>
      <c r="B31" s="27" t="s">
        <v>16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34"/>
    </row>
    <row r="32" spans="1:15" hidden="1" x14ac:dyDescent="0.25">
      <c r="A32" s="50"/>
      <c r="B32" s="52" t="s">
        <v>24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4"/>
      <c r="O32" s="34"/>
    </row>
    <row r="33" spans="1:15" hidden="1" x14ac:dyDescent="0.25">
      <c r="A33" s="50"/>
      <c r="B33" s="29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34"/>
    </row>
    <row r="34" spans="1:15" hidden="1" x14ac:dyDescent="0.25">
      <c r="A34" s="51"/>
      <c r="B34" s="30" t="s">
        <v>17</v>
      </c>
      <c r="C34" s="31">
        <f t="shared" ref="C34:F34" si="5">SUM(C28:C31,C33)</f>
        <v>0</v>
      </c>
      <c r="D34" s="31">
        <f t="shared" si="5"/>
        <v>0</v>
      </c>
      <c r="E34" s="31">
        <f>SUM(E28:E31,E33)</f>
        <v>0</v>
      </c>
      <c r="F34" s="31">
        <f t="shared" si="5"/>
        <v>0</v>
      </c>
      <c r="G34" s="31">
        <f>SUM(G28:G31,G33)</f>
        <v>0</v>
      </c>
      <c r="H34" s="31">
        <f>SUM(H28:H31,H33)</f>
        <v>0</v>
      </c>
      <c r="I34" s="31">
        <f>SUM(I28:I31,I33)</f>
        <v>0</v>
      </c>
      <c r="J34" s="31">
        <f>SUM(J28:J31,J33)</f>
        <v>0</v>
      </c>
      <c r="K34" s="31">
        <f t="shared" ref="K34" si="6">SUM(K28:K31,K33)</f>
        <v>0</v>
      </c>
      <c r="L34" s="31">
        <f>SUM(L28:L31,L33)</f>
        <v>0</v>
      </c>
      <c r="M34" s="31">
        <f t="shared" ref="M34:N34" si="7">SUM(M28:M31,M33)</f>
        <v>0</v>
      </c>
      <c r="N34" s="31">
        <f t="shared" si="7"/>
        <v>0</v>
      </c>
      <c r="O34" s="34"/>
    </row>
    <row r="35" spans="1:15" x14ac:dyDescent="0.25">
      <c r="O35" s="34"/>
    </row>
    <row r="36" spans="1:15" x14ac:dyDescent="0.25">
      <c r="F36" s="35"/>
      <c r="G36" s="35"/>
      <c r="H36" s="35"/>
      <c r="L36" s="35"/>
    </row>
    <row r="37" spans="1:15" x14ac:dyDescent="0.25">
      <c r="E37" s="35"/>
      <c r="F37" s="35"/>
      <c r="G37" s="35"/>
      <c r="H37" s="35"/>
      <c r="I37" s="35"/>
      <c r="J37" s="35"/>
      <c r="L37" s="35"/>
      <c r="N37" s="35"/>
    </row>
    <row r="38" spans="1:15" x14ac:dyDescent="0.25">
      <c r="H38" s="35"/>
    </row>
  </sheetData>
  <mergeCells count="12">
    <mergeCell ref="A19:A26"/>
    <mergeCell ref="B19:N19"/>
    <mergeCell ref="B24:N24"/>
    <mergeCell ref="A27:A34"/>
    <mergeCell ref="B27:N27"/>
    <mergeCell ref="B32:N32"/>
    <mergeCell ref="A18:B18"/>
    <mergeCell ref="A2:N2"/>
    <mergeCell ref="A4:A11"/>
    <mergeCell ref="B4:N4"/>
    <mergeCell ref="B9:N9"/>
    <mergeCell ref="A12:A1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workbookViewId="0">
      <pane xSplit="2" ySplit="4" topLeftCell="F6" activePane="bottomRight" state="frozen"/>
      <selection pane="topRight" activeCell="C1" sqref="C1"/>
      <selection pane="bottomLeft" activeCell="A5" sqref="A5"/>
      <selection pane="bottomRight" activeCell="N8" sqref="N8"/>
    </sheetView>
  </sheetViews>
  <sheetFormatPr defaultColWidth="9.140625" defaultRowHeight="15" x14ac:dyDescent="0.25"/>
  <cols>
    <col min="1" max="1" width="17.42578125" style="23" customWidth="1"/>
    <col min="2" max="2" width="15.5703125" style="23" customWidth="1"/>
    <col min="3" max="3" width="17.42578125" style="23" customWidth="1"/>
    <col min="4" max="4" width="21" style="23" customWidth="1"/>
    <col min="5" max="5" width="18.42578125" style="23" customWidth="1"/>
    <col min="6" max="6" width="18" style="23" customWidth="1"/>
    <col min="7" max="7" width="17.5703125" style="23" customWidth="1"/>
    <col min="8" max="8" width="17.28515625" style="23" customWidth="1"/>
    <col min="9" max="9" width="17.7109375" style="23" customWidth="1"/>
    <col min="10" max="10" width="15.85546875" style="23" customWidth="1"/>
    <col min="11" max="11" width="17.140625" style="23" customWidth="1"/>
    <col min="12" max="12" width="18.28515625" style="23" customWidth="1"/>
    <col min="13" max="14" width="17.7109375" style="23" customWidth="1"/>
    <col min="15" max="15" width="11.28515625" style="23" bestFit="1" customWidth="1"/>
    <col min="16" max="16384" width="9.140625" style="23"/>
  </cols>
  <sheetData>
    <row r="1" spans="1:15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5" x14ac:dyDescent="0.25">
      <c r="A2" s="57" t="s">
        <v>38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5" ht="28.5" x14ac:dyDescent="0.25">
      <c r="A3" s="24" t="s">
        <v>0</v>
      </c>
      <c r="B3" s="25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  <c r="K3" s="26" t="s">
        <v>10</v>
      </c>
      <c r="L3" s="26" t="s">
        <v>11</v>
      </c>
      <c r="M3" s="26" t="s">
        <v>12</v>
      </c>
      <c r="N3" s="26" t="s">
        <v>13</v>
      </c>
    </row>
    <row r="4" spans="1:15" x14ac:dyDescent="0.25">
      <c r="A4" s="49" t="s">
        <v>23</v>
      </c>
      <c r="B4" s="52" t="s">
        <v>18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37"/>
    </row>
    <row r="5" spans="1:15" x14ac:dyDescent="0.25">
      <c r="A5" s="50"/>
      <c r="B5" s="27" t="s">
        <v>14</v>
      </c>
      <c r="C5" s="28">
        <v>318803352</v>
      </c>
      <c r="D5" s="28">
        <v>307389941</v>
      </c>
      <c r="E5" s="28">
        <v>310879511</v>
      </c>
      <c r="F5" s="28">
        <f>'[25]апрель (испр РГМЭК)'!$G$28</f>
        <v>291718678.5</v>
      </c>
      <c r="G5" s="28">
        <v>281289993</v>
      </c>
      <c r="H5" s="28">
        <v>270308302</v>
      </c>
      <c r="I5" s="28">
        <f>[26]июль!$G$28</f>
        <v>271752892</v>
      </c>
      <c r="J5" s="28">
        <v>280645894</v>
      </c>
      <c r="K5" s="28">
        <v>272386364</v>
      </c>
      <c r="L5" s="28">
        <v>296433772</v>
      </c>
      <c r="M5" s="28">
        <v>301659704</v>
      </c>
      <c r="N5" s="28">
        <f>[30]декабрь!$G$28</f>
        <v>318980031</v>
      </c>
      <c r="O5" s="38">
        <f>[23]август!$G$28</f>
        <v>261924911</v>
      </c>
    </row>
    <row r="6" spans="1:15" x14ac:dyDescent="0.25">
      <c r="A6" s="50"/>
      <c r="B6" s="27" t="s">
        <v>22</v>
      </c>
      <c r="C6" s="28">
        <v>3856236</v>
      </c>
      <c r="D6" s="28">
        <v>3752552</v>
      </c>
      <c r="E6" s="28">
        <v>3246266</v>
      </c>
      <c r="F6" s="28">
        <f>'[25]апрель (испр РГМЭК)'!$G$29+'[25]апрель (испр РГМЭК)'!$G$37</f>
        <v>2498107</v>
      </c>
      <c r="G6" s="28">
        <v>1785293</v>
      </c>
      <c r="H6" s="28">
        <v>1274905</v>
      </c>
      <c r="I6" s="28">
        <v>1238857</v>
      </c>
      <c r="J6" s="28">
        <v>1116440</v>
      </c>
      <c r="K6" s="28">
        <v>1924622</v>
      </c>
      <c r="L6" s="28">
        <v>2771553</v>
      </c>
      <c r="M6" s="28">
        <v>3608979</v>
      </c>
      <c r="N6" s="28">
        <v>3916070</v>
      </c>
      <c r="O6" s="38">
        <f>[23]август!$G$29+[23]август!$G$37</f>
        <v>965400</v>
      </c>
    </row>
    <row r="7" spans="1:15" x14ac:dyDescent="0.25">
      <c r="A7" s="50"/>
      <c r="B7" s="27" t="s">
        <v>15</v>
      </c>
      <c r="C7" s="28">
        <v>9445873</v>
      </c>
      <c r="D7" s="28">
        <v>9767608</v>
      </c>
      <c r="E7" s="28">
        <v>8295577</v>
      </c>
      <c r="F7" s="28">
        <f>'[25]апрель (испр РГМЭК)'!$G$30+'[25]апрель (испр РГМЭК)'!$G$39</f>
        <v>6919432</v>
      </c>
      <c r="G7" s="28">
        <v>5057109</v>
      </c>
      <c r="H7" s="28">
        <v>4649914</v>
      </c>
      <c r="I7" s="28">
        <v>4234489</v>
      </c>
      <c r="J7" s="28">
        <v>3958735</v>
      </c>
      <c r="K7" s="28">
        <v>5000327</v>
      </c>
      <c r="L7" s="28">
        <v>6353645</v>
      </c>
      <c r="M7" s="28">
        <v>7484012</v>
      </c>
      <c r="N7" s="28">
        <v>8616942</v>
      </c>
      <c r="O7" s="38">
        <f>[23]август!$G$30+[23]август!$G$39</f>
        <v>4753277</v>
      </c>
    </row>
    <row r="8" spans="1:15" x14ac:dyDescent="0.25">
      <c r="A8" s="50"/>
      <c r="B8" s="27" t="s">
        <v>16</v>
      </c>
      <c r="C8" s="28">
        <v>1144855.1200000001</v>
      </c>
      <c r="D8" s="28">
        <v>1148695</v>
      </c>
      <c r="E8" s="28">
        <v>977814</v>
      </c>
      <c r="F8" s="28">
        <f>'[25]апрель (испр РГМЭК)'!$G$31+'[25]апрель (испр РГМЭК)'!$G$41</f>
        <v>742193</v>
      </c>
      <c r="G8" s="28">
        <v>647366</v>
      </c>
      <c r="H8" s="28">
        <v>636659.99999999953</v>
      </c>
      <c r="I8" s="28">
        <v>578730</v>
      </c>
      <c r="J8" s="28">
        <v>545343</v>
      </c>
      <c r="K8" s="28">
        <v>622737</v>
      </c>
      <c r="L8" s="28">
        <v>812510</v>
      </c>
      <c r="M8" s="28">
        <v>760770</v>
      </c>
      <c r="N8" s="28">
        <v>897332</v>
      </c>
      <c r="O8" s="38">
        <f>[23]август!$G$31+[23]август!$G$41</f>
        <v>509804</v>
      </c>
    </row>
    <row r="9" spans="1:15" x14ac:dyDescent="0.25">
      <c r="A9" s="50"/>
      <c r="B9" s="52" t="s">
        <v>24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4"/>
      <c r="O9" s="39"/>
    </row>
    <row r="10" spans="1:15" ht="30" x14ac:dyDescent="0.25">
      <c r="A10" s="50"/>
      <c r="B10" s="32" t="s">
        <v>24</v>
      </c>
      <c r="C10" s="28">
        <v>9226293</v>
      </c>
      <c r="D10" s="28">
        <v>9521647</v>
      </c>
      <c r="E10" s="28">
        <v>8261775.6299999999</v>
      </c>
      <c r="F10" s="28">
        <f>'[25]апрель (испр РГМЭК)'!$G$27</f>
        <v>7312005</v>
      </c>
      <c r="G10" s="28">
        <v>6004650</v>
      </c>
      <c r="H10" s="28">
        <v>5493132.6799999997</v>
      </c>
      <c r="I10" s="28">
        <v>4149648</v>
      </c>
      <c r="J10" s="28">
        <v>4199184</v>
      </c>
      <c r="K10" s="28">
        <v>5486292.8700000001</v>
      </c>
      <c r="L10" s="28">
        <v>6070452.5800000001</v>
      </c>
      <c r="M10" s="28">
        <v>7617045</v>
      </c>
      <c r="N10" s="28">
        <v>9135878.1099999994</v>
      </c>
      <c r="O10" s="38">
        <f>[23]август!$G$27</f>
        <v>4580267</v>
      </c>
    </row>
    <row r="11" spans="1:15" x14ac:dyDescent="0.25">
      <c r="A11" s="51"/>
      <c r="B11" s="30" t="s">
        <v>17</v>
      </c>
      <c r="C11" s="31">
        <f t="shared" ref="C11:D11" si="0">SUM(C5:C8,C10)</f>
        <v>342476609.12</v>
      </c>
      <c r="D11" s="31">
        <f t="shared" si="0"/>
        <v>331580443</v>
      </c>
      <c r="E11" s="31">
        <f>SUM(E5:E8,E10)</f>
        <v>331660943.63</v>
      </c>
      <c r="F11" s="31">
        <f>SUM(F5:F8,F10)</f>
        <v>309190415.5</v>
      </c>
      <c r="G11" s="31">
        <f>SUM(G5:G8,G10)</f>
        <v>294784411</v>
      </c>
      <c r="H11" s="31">
        <f>SUM(H5:H8,H10)</f>
        <v>282362913.68000001</v>
      </c>
      <c r="I11" s="31">
        <f t="shared" ref="I11:N11" si="1">SUM(I5:I8,I10)</f>
        <v>281954616</v>
      </c>
      <c r="J11" s="31">
        <f t="shared" si="1"/>
        <v>290465596</v>
      </c>
      <c r="K11" s="31">
        <f t="shared" si="1"/>
        <v>285420342.87</v>
      </c>
      <c r="L11" s="31">
        <f t="shared" si="1"/>
        <v>312441932.57999998</v>
      </c>
      <c r="M11" s="31">
        <f t="shared" si="1"/>
        <v>321130510</v>
      </c>
      <c r="N11" s="31">
        <f t="shared" si="1"/>
        <v>341546253.11000001</v>
      </c>
      <c r="O11" s="39">
        <f>'2022'!AC11/'2021'!U11</f>
        <v>1.033774429264924</v>
      </c>
    </row>
    <row r="12" spans="1:15" ht="23.25" customHeight="1" x14ac:dyDescent="0.25">
      <c r="A12" s="49" t="s">
        <v>34</v>
      </c>
      <c r="B12" s="32" t="s">
        <v>14</v>
      </c>
      <c r="C12" s="28"/>
      <c r="D12" s="28">
        <f>'[27]февраль (испр) (2)'!$G$89</f>
        <v>5021701</v>
      </c>
      <c r="E12" s="28">
        <f>[28]март!$G$88</f>
        <v>4260583</v>
      </c>
      <c r="F12" s="28">
        <f>'[25]апрель (испр РГМЭК)'!$G$88</f>
        <v>4638524.5</v>
      </c>
      <c r="G12" s="28">
        <v>5024164</v>
      </c>
      <c r="H12" s="28">
        <v>4354920</v>
      </c>
      <c r="I12" s="28">
        <v>5237608</v>
      </c>
      <c r="J12" s="28">
        <v>4736905</v>
      </c>
      <c r="K12" s="28">
        <v>4851305</v>
      </c>
      <c r="L12" s="28">
        <v>5047831</v>
      </c>
      <c r="M12" s="28">
        <v>5796987</v>
      </c>
      <c r="N12" s="28">
        <v>5238194</v>
      </c>
      <c r="O12" s="39">
        <f>[29]май!$G$85</f>
        <v>5024164</v>
      </c>
    </row>
    <row r="13" spans="1:15" ht="18.75" customHeight="1" x14ac:dyDescent="0.25">
      <c r="A13" s="50"/>
      <c r="B13" s="32" t="s">
        <v>22</v>
      </c>
      <c r="C13" s="28">
        <v>0</v>
      </c>
      <c r="D13" s="28">
        <f>'[27]февраль (испр) (2)'!$G$90</f>
        <v>230693</v>
      </c>
      <c r="E13" s="28">
        <f>[28]март!$G$89</f>
        <v>145293</v>
      </c>
      <c r="F13" s="28">
        <f>'[25]апрель (испр РГМЭК)'!$G$89</f>
        <v>127868</v>
      </c>
      <c r="G13" s="28">
        <v>91000</v>
      </c>
      <c r="H13" s="28">
        <v>77869</v>
      </c>
      <c r="I13" s="28">
        <v>39980</v>
      </c>
      <c r="J13" s="28">
        <v>2697</v>
      </c>
      <c r="K13" s="28">
        <v>59185</v>
      </c>
      <c r="L13" s="28">
        <v>92400</v>
      </c>
      <c r="M13" s="28">
        <v>153281</v>
      </c>
      <c r="N13" s="28">
        <v>132727</v>
      </c>
      <c r="O13" s="38">
        <f>[29]май!$G$86</f>
        <v>91000</v>
      </c>
    </row>
    <row r="14" spans="1:15" ht="17.25" customHeight="1" x14ac:dyDescent="0.25">
      <c r="A14" s="50"/>
      <c r="B14" s="32" t="s">
        <v>15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38"/>
    </row>
    <row r="15" spans="1:15" ht="19.5" customHeight="1" x14ac:dyDescent="0.25">
      <c r="A15" s="50"/>
      <c r="B15" s="32" t="s">
        <v>16</v>
      </c>
      <c r="C15" s="28">
        <v>0</v>
      </c>
      <c r="D15" s="28">
        <f>'[27]февраль (испр) (2)'!$G$91</f>
        <v>4716</v>
      </c>
      <c r="E15" s="28">
        <f>[28]март!$G$90</f>
        <v>2914</v>
      </c>
      <c r="F15" s="28">
        <f>'[25]апрель (испр РГМЭК)'!$G$90</f>
        <v>2163</v>
      </c>
      <c r="G15" s="28">
        <v>2163</v>
      </c>
      <c r="H15" s="28">
        <v>2365</v>
      </c>
      <c r="I15" s="28">
        <v>2742</v>
      </c>
      <c r="J15" s="28">
        <v>34151</v>
      </c>
      <c r="K15" s="28">
        <v>2204</v>
      </c>
      <c r="L15" s="28">
        <v>1938</v>
      </c>
      <c r="M15" s="28">
        <v>2726</v>
      </c>
      <c r="N15" s="28">
        <v>3487</v>
      </c>
      <c r="O15" s="38">
        <f>[29]май!$G$87</f>
        <v>2163</v>
      </c>
    </row>
    <row r="16" spans="1:15" ht="17.25" customHeight="1" x14ac:dyDescent="0.25">
      <c r="A16" s="50"/>
      <c r="B16" s="32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8"/>
    </row>
    <row r="17" spans="1:15" ht="23.25" customHeight="1" x14ac:dyDescent="0.25">
      <c r="A17" s="51"/>
      <c r="B17" s="32" t="s">
        <v>24</v>
      </c>
      <c r="C17" s="28">
        <v>0</v>
      </c>
      <c r="D17" s="28">
        <f>'[27]февраль (испр) (2)'!$G$92</f>
        <v>37788</v>
      </c>
      <c r="E17" s="28">
        <f>[28]март!$G$91</f>
        <v>39246</v>
      </c>
      <c r="F17" s="28">
        <f>'[25]апрель (испр РГМЭК)'!$G$91</f>
        <v>27120</v>
      </c>
      <c r="G17" s="28">
        <v>17572</v>
      </c>
      <c r="H17" s="28">
        <v>18361</v>
      </c>
      <c r="I17" s="28">
        <v>8629</v>
      </c>
      <c r="J17" s="28">
        <v>10604</v>
      </c>
      <c r="K17" s="28">
        <v>17242</v>
      </c>
      <c r="L17" s="28">
        <v>26390</v>
      </c>
      <c r="M17" s="28">
        <v>33883</v>
      </c>
      <c r="N17" s="28">
        <v>38689</v>
      </c>
      <c r="O17" s="38">
        <f>[29]май!$G$88</f>
        <v>17572</v>
      </c>
    </row>
    <row r="18" spans="1:15" ht="18.75" customHeight="1" x14ac:dyDescent="0.25">
      <c r="A18" s="55" t="s">
        <v>17</v>
      </c>
      <c r="B18" s="56"/>
      <c r="C18" s="31">
        <f t="shared" ref="C18:J18" si="2">SUM(C12:C15,C17)</f>
        <v>0</v>
      </c>
      <c r="D18" s="31">
        <f t="shared" si="2"/>
        <v>5294898</v>
      </c>
      <c r="E18" s="31">
        <f>SUM(E12:E15,E17)</f>
        <v>4448036</v>
      </c>
      <c r="F18" s="31">
        <f t="shared" si="2"/>
        <v>4795675.5</v>
      </c>
      <c r="G18" s="31">
        <f t="shared" si="2"/>
        <v>5134899</v>
      </c>
      <c r="H18" s="31">
        <f>SUM(H12:H15,H17)</f>
        <v>4453515</v>
      </c>
      <c r="I18" s="31">
        <f t="shared" si="2"/>
        <v>5288959</v>
      </c>
      <c r="J18" s="31">
        <f t="shared" si="2"/>
        <v>4784357</v>
      </c>
      <c r="K18" s="31">
        <f>SUM(K12:K15,K17)</f>
        <v>4929936</v>
      </c>
      <c r="L18" s="31">
        <f>SUM(L12:L15,L17)</f>
        <v>5168559</v>
      </c>
      <c r="M18" s="31">
        <f>SUM(M12:M15,M17)</f>
        <v>5986877</v>
      </c>
      <c r="N18" s="31">
        <f>SUM(N12:N15,N17)</f>
        <v>5413097</v>
      </c>
      <c r="O18" s="39">
        <f>'2022'!AC18/'2021'!U18</f>
        <v>1.0167279629849331</v>
      </c>
    </row>
    <row r="19" spans="1:15" x14ac:dyDescent="0.25">
      <c r="A19" s="49" t="s">
        <v>28</v>
      </c>
      <c r="B19" s="52" t="s">
        <v>18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4"/>
      <c r="O19" s="39"/>
    </row>
    <row r="20" spans="1:15" x14ac:dyDescent="0.25">
      <c r="A20" s="50"/>
      <c r="B20" s="27" t="s">
        <v>14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39"/>
    </row>
    <row r="21" spans="1:15" x14ac:dyDescent="0.25">
      <c r="A21" s="50"/>
      <c r="B21" s="27" t="s">
        <v>22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39"/>
    </row>
    <row r="22" spans="1:15" x14ac:dyDescent="0.25">
      <c r="A22" s="50"/>
      <c r="B22" s="27" t="s">
        <v>15</v>
      </c>
      <c r="C22" s="28">
        <v>541616</v>
      </c>
      <c r="D22" s="28">
        <v>529500</v>
      </c>
      <c r="E22" s="28">
        <v>454830</v>
      </c>
      <c r="F22" s="28">
        <f>'[25]апрель (испр РГМЭК)'!$G$55</f>
        <v>336033</v>
      </c>
      <c r="G22" s="28">
        <v>257286.99999999997</v>
      </c>
      <c r="H22" s="28">
        <v>141388</v>
      </c>
      <c r="I22" s="28">
        <v>130705.99999999999</v>
      </c>
      <c r="J22" s="28">
        <v>114439</v>
      </c>
      <c r="K22" s="28">
        <v>205498</v>
      </c>
      <c r="L22" s="28">
        <v>285839</v>
      </c>
      <c r="M22" s="28">
        <v>354227</v>
      </c>
      <c r="N22" s="28">
        <v>423327</v>
      </c>
      <c r="O22" s="38">
        <f>'[27]февраль (испр) (2)'!$G$55</f>
        <v>529500</v>
      </c>
    </row>
    <row r="23" spans="1:15" ht="15" customHeight="1" x14ac:dyDescent="0.25">
      <c r="A23" s="50"/>
      <c r="B23" s="27" t="s">
        <v>16</v>
      </c>
      <c r="C23" s="28">
        <v>254157.88</v>
      </c>
      <c r="D23" s="28">
        <v>247598</v>
      </c>
      <c r="E23" s="28">
        <v>206786</v>
      </c>
      <c r="F23" s="28">
        <f>'[25]апрель (испр РГМЭК)'!$G$56</f>
        <v>168881</v>
      </c>
      <c r="G23" s="28">
        <v>109703</v>
      </c>
      <c r="H23" s="28">
        <v>76157</v>
      </c>
      <c r="I23" s="28">
        <v>56219</v>
      </c>
      <c r="J23" s="28">
        <v>57001</v>
      </c>
      <c r="K23" s="28">
        <v>91189</v>
      </c>
      <c r="L23" s="28">
        <v>142702</v>
      </c>
      <c r="M23" s="28">
        <v>168301</v>
      </c>
      <c r="N23" s="28">
        <v>203206</v>
      </c>
      <c r="O23" s="38">
        <f>'[27]февраль (испр) (2)'!$G$56</f>
        <v>247598</v>
      </c>
    </row>
    <row r="24" spans="1:15" x14ac:dyDescent="0.25">
      <c r="A24" s="50"/>
      <c r="B24" s="52" t="s">
        <v>24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4"/>
      <c r="O24" s="39"/>
    </row>
    <row r="25" spans="1:15" ht="30" x14ac:dyDescent="0.25">
      <c r="A25" s="50"/>
      <c r="B25" s="32" t="s">
        <v>24</v>
      </c>
      <c r="C25" s="28">
        <v>1499083</v>
      </c>
      <c r="D25" s="28">
        <v>1448615</v>
      </c>
      <c r="E25" s="28">
        <v>1235156.3700000001</v>
      </c>
      <c r="F25" s="28">
        <f>'[25]апрель (испр РГМЭК)'!$G$57+'[25]апрель (испр РГМЭК)'!$G$58</f>
        <v>1017340</v>
      </c>
      <c r="G25" s="28">
        <v>729488.00000000012</v>
      </c>
      <c r="H25" s="28">
        <v>555322</v>
      </c>
      <c r="I25" s="28">
        <v>418888</v>
      </c>
      <c r="J25" s="28">
        <v>412324</v>
      </c>
      <c r="K25" s="28">
        <v>591230.13000000012</v>
      </c>
      <c r="L25" s="28">
        <v>860510.41999999993</v>
      </c>
      <c r="M25" s="28">
        <v>1186405.4900000002</v>
      </c>
      <c r="N25" s="28">
        <v>1374483.8900000001</v>
      </c>
      <c r="O25" s="38">
        <f>'[27]февраль (испр) (2)'!$G$57+'[27]февраль (испр) (2)'!$G$58</f>
        <v>1448615</v>
      </c>
    </row>
    <row r="26" spans="1:15" x14ac:dyDescent="0.25">
      <c r="A26" s="51"/>
      <c r="B26" s="30" t="s">
        <v>17</v>
      </c>
      <c r="C26" s="31">
        <f t="shared" ref="C26:F26" si="3">SUM(C20:C23,C25)</f>
        <v>2294856.88</v>
      </c>
      <c r="D26" s="31">
        <f>SUM(D20:D23,D25)</f>
        <v>2225713</v>
      </c>
      <c r="E26" s="31">
        <f>SUM(E20:E23,E25)</f>
        <v>1896772.37</v>
      </c>
      <c r="F26" s="31">
        <f t="shared" si="3"/>
        <v>1522254</v>
      </c>
      <c r="G26" s="31">
        <f>SUM(G20:G23,G25)</f>
        <v>1096478</v>
      </c>
      <c r="H26" s="31">
        <f t="shared" ref="H26:N26" si="4">SUM(H20:H23,H25)</f>
        <v>772867</v>
      </c>
      <c r="I26" s="31">
        <f t="shared" si="4"/>
        <v>605813</v>
      </c>
      <c r="J26" s="31">
        <f t="shared" si="4"/>
        <v>583764</v>
      </c>
      <c r="K26" s="31">
        <f t="shared" si="4"/>
        <v>887917.13000000012</v>
      </c>
      <c r="L26" s="31">
        <f>SUM(L20:L23,L25)</f>
        <v>1289051.42</v>
      </c>
      <c r="M26" s="31">
        <f t="shared" si="4"/>
        <v>1708933.4900000002</v>
      </c>
      <c r="N26" s="31">
        <f t="shared" si="4"/>
        <v>2001016.8900000001</v>
      </c>
      <c r="O26" s="34">
        <f>'2022'!AC26/'2021'!U26</f>
        <v>1.0380130074007625</v>
      </c>
    </row>
    <row r="27" spans="1:15" hidden="1" x14ac:dyDescent="0.25">
      <c r="A27" s="49" t="s">
        <v>33</v>
      </c>
      <c r="B27" s="52" t="s">
        <v>18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4"/>
      <c r="O27" s="34"/>
    </row>
    <row r="28" spans="1:15" hidden="1" x14ac:dyDescent="0.25">
      <c r="A28" s="50"/>
      <c r="B28" s="27" t="s">
        <v>14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34"/>
    </row>
    <row r="29" spans="1:15" hidden="1" x14ac:dyDescent="0.25">
      <c r="A29" s="50"/>
      <c r="B29" s="27" t="s">
        <v>22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34"/>
    </row>
    <row r="30" spans="1:15" hidden="1" x14ac:dyDescent="0.25">
      <c r="A30" s="50"/>
      <c r="B30" s="27" t="s">
        <v>15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34"/>
    </row>
    <row r="31" spans="1:15" ht="15" hidden="1" customHeight="1" x14ac:dyDescent="0.25">
      <c r="A31" s="50"/>
      <c r="B31" s="27" t="s">
        <v>16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34"/>
    </row>
    <row r="32" spans="1:15" hidden="1" x14ac:dyDescent="0.25">
      <c r="A32" s="50"/>
      <c r="B32" s="52" t="s">
        <v>24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4"/>
      <c r="O32" s="34"/>
    </row>
    <row r="33" spans="1:15" hidden="1" x14ac:dyDescent="0.25">
      <c r="A33" s="50"/>
      <c r="B33" s="29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34"/>
    </row>
    <row r="34" spans="1:15" hidden="1" x14ac:dyDescent="0.25">
      <c r="A34" s="51"/>
      <c r="B34" s="30" t="s">
        <v>17</v>
      </c>
      <c r="C34" s="31">
        <f t="shared" ref="C34:F34" si="5">SUM(C28:C31,C33)</f>
        <v>0</v>
      </c>
      <c r="D34" s="31">
        <f t="shared" si="5"/>
        <v>0</v>
      </c>
      <c r="E34" s="31">
        <f>SUM(E28:E31,E33)</f>
        <v>0</v>
      </c>
      <c r="F34" s="31">
        <f t="shared" si="5"/>
        <v>0</v>
      </c>
      <c r="G34" s="31">
        <f>SUM(G28:G31,G33)</f>
        <v>0</v>
      </c>
      <c r="H34" s="31">
        <f>SUM(H28:H31,H33)</f>
        <v>0</v>
      </c>
      <c r="I34" s="31">
        <f>SUM(I28:I31,I33)</f>
        <v>0</v>
      </c>
      <c r="J34" s="31">
        <f>SUM(J28:J31,J33)</f>
        <v>0</v>
      </c>
      <c r="K34" s="31">
        <f t="shared" ref="K34" si="6">SUM(K28:K31,K33)</f>
        <v>0</v>
      </c>
      <c r="L34" s="31">
        <f>SUM(L28:L31,L33)</f>
        <v>0</v>
      </c>
      <c r="M34" s="31">
        <f t="shared" ref="M34:N34" si="7">SUM(M28:M31,M33)</f>
        <v>0</v>
      </c>
      <c r="N34" s="31">
        <f t="shared" si="7"/>
        <v>0</v>
      </c>
      <c r="O34" s="34"/>
    </row>
    <row r="35" spans="1:15" x14ac:dyDescent="0.25">
      <c r="O35" s="34"/>
    </row>
    <row r="36" spans="1:15" x14ac:dyDescent="0.25">
      <c r="F36" s="35"/>
      <c r="G36" s="35"/>
      <c r="H36" s="35"/>
      <c r="L36" s="35"/>
    </row>
    <row r="37" spans="1:15" x14ac:dyDescent="0.25">
      <c r="E37" s="35"/>
      <c r="F37" s="35"/>
      <c r="G37" s="35"/>
      <c r="H37" s="35"/>
      <c r="I37" s="35"/>
      <c r="J37" s="35"/>
      <c r="L37" s="35"/>
      <c r="N37" s="35"/>
    </row>
    <row r="38" spans="1:15" x14ac:dyDescent="0.25">
      <c r="H38" s="35"/>
    </row>
  </sheetData>
  <mergeCells count="12">
    <mergeCell ref="A18:B18"/>
    <mergeCell ref="A2:N2"/>
    <mergeCell ref="A4:A11"/>
    <mergeCell ref="B4:N4"/>
    <mergeCell ref="B9:N9"/>
    <mergeCell ref="A12:A17"/>
    <mergeCell ref="A19:A26"/>
    <mergeCell ref="B19:N19"/>
    <mergeCell ref="B24:N24"/>
    <mergeCell ref="A27:A34"/>
    <mergeCell ref="B27:N27"/>
    <mergeCell ref="B32:N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"/>
  <sheetViews>
    <sheetView workbookViewId="0">
      <selection activeCell="B9" sqref="B9:N9"/>
    </sheetView>
  </sheetViews>
  <sheetFormatPr defaultColWidth="9.140625" defaultRowHeight="22.5" customHeight="1" x14ac:dyDescent="0.25"/>
  <cols>
    <col min="1" max="1" width="24.85546875" style="1" customWidth="1"/>
    <col min="2" max="2" width="19.2851562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s="2" customFormat="1" ht="42.75" customHeight="1" x14ac:dyDescent="0.25">
      <c r="A2" s="40" t="s">
        <v>20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s="6" customFormat="1" ht="33" customHeight="1" x14ac:dyDescent="0.25">
      <c r="A3" s="3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</row>
    <row r="4" spans="1:14" ht="22.5" customHeight="1" x14ac:dyDescent="0.25">
      <c r="A4" s="41" t="s">
        <v>23</v>
      </c>
      <c r="B4" s="44" t="s">
        <v>18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ht="22.5" customHeight="1" x14ac:dyDescent="0.25">
      <c r="A5" s="42"/>
      <c r="B5" s="13" t="s">
        <v>14</v>
      </c>
      <c r="C5" s="12">
        <v>269348286</v>
      </c>
      <c r="D5" s="12">
        <v>248286978</v>
      </c>
      <c r="E5" s="12">
        <v>258820275</v>
      </c>
      <c r="F5" s="12">
        <v>229971631</v>
      </c>
      <c r="G5" s="12">
        <v>236590437</v>
      </c>
      <c r="H5" s="12">
        <v>220727157</v>
      </c>
      <c r="I5" s="12">
        <v>217135533</v>
      </c>
      <c r="J5" s="12">
        <v>217063223</v>
      </c>
      <c r="K5" s="12">
        <v>218192856</v>
      </c>
      <c r="L5" s="12">
        <v>235193691</v>
      </c>
      <c r="M5" s="12">
        <v>248650622</v>
      </c>
      <c r="N5" s="12">
        <v>262796921</v>
      </c>
    </row>
    <row r="6" spans="1:14" ht="22.5" customHeight="1" x14ac:dyDescent="0.25">
      <c r="A6" s="42"/>
      <c r="B6" s="13" t="s">
        <v>22</v>
      </c>
      <c r="C6" s="12">
        <v>3577625</v>
      </c>
      <c r="D6" s="12">
        <v>3530588</v>
      </c>
      <c r="E6" s="12">
        <v>3144803</v>
      </c>
      <c r="F6" s="12">
        <v>2518372</v>
      </c>
      <c r="G6" s="12">
        <v>1804875</v>
      </c>
      <c r="H6" s="12">
        <v>1227702</v>
      </c>
      <c r="I6" s="12">
        <v>1056997</v>
      </c>
      <c r="J6" s="12">
        <v>849335</v>
      </c>
      <c r="K6" s="12">
        <v>1703510</v>
      </c>
      <c r="L6" s="12">
        <v>2602983</v>
      </c>
      <c r="M6" s="12">
        <v>3051830</v>
      </c>
      <c r="N6" s="12">
        <v>3558217</v>
      </c>
    </row>
    <row r="7" spans="1:14" ht="22.5" customHeight="1" x14ac:dyDescent="0.25">
      <c r="A7" s="42"/>
      <c r="B7" s="13" t="s">
        <v>15</v>
      </c>
      <c r="C7" s="12">
        <v>10312422</v>
      </c>
      <c r="D7" s="12">
        <v>10782719</v>
      </c>
      <c r="E7" s="12">
        <v>8699246</v>
      </c>
      <c r="F7" s="12">
        <v>6641598</v>
      </c>
      <c r="G7" s="12">
        <v>5708876</v>
      </c>
      <c r="H7" s="12">
        <v>4650546</v>
      </c>
      <c r="I7" s="12">
        <v>4211244</v>
      </c>
      <c r="J7" s="12">
        <v>4433228</v>
      </c>
      <c r="K7" s="12">
        <v>5436397</v>
      </c>
      <c r="L7" s="12">
        <v>7198183</v>
      </c>
      <c r="M7" s="12">
        <v>9023064</v>
      </c>
      <c r="N7" s="12">
        <v>10472484</v>
      </c>
    </row>
    <row r="8" spans="1:14" ht="48" customHeight="1" x14ac:dyDescent="0.25">
      <c r="A8" s="42"/>
      <c r="B8" s="13" t="s">
        <v>16</v>
      </c>
      <c r="C8" s="12">
        <v>1524329</v>
      </c>
      <c r="D8" s="12">
        <v>1550131</v>
      </c>
      <c r="E8" s="12">
        <v>1284691</v>
      </c>
      <c r="F8" s="12">
        <v>979207</v>
      </c>
      <c r="G8" s="12">
        <v>778663</v>
      </c>
      <c r="H8" s="12">
        <v>584367</v>
      </c>
      <c r="I8" s="12">
        <v>542127</v>
      </c>
      <c r="J8" s="12">
        <v>530403</v>
      </c>
      <c r="K8" s="12">
        <v>659317</v>
      </c>
      <c r="L8" s="12">
        <v>962548</v>
      </c>
      <c r="M8" s="12">
        <v>1304717</v>
      </c>
      <c r="N8" s="12">
        <v>1470669</v>
      </c>
    </row>
    <row r="9" spans="1:14" ht="22.5" customHeight="1" x14ac:dyDescent="0.25">
      <c r="A9" s="42"/>
      <c r="B9" s="44" t="s">
        <v>24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6"/>
    </row>
    <row r="10" spans="1:14" ht="30.75" customHeight="1" x14ac:dyDescent="0.25">
      <c r="A10" s="42"/>
      <c r="B10" s="14"/>
      <c r="C10" s="12">
        <v>7961435</v>
      </c>
      <c r="D10" s="12">
        <v>8210833</v>
      </c>
      <c r="E10" s="12">
        <v>6641572</v>
      </c>
      <c r="F10" s="12">
        <v>5209248</v>
      </c>
      <c r="G10" s="12">
        <v>5074233</v>
      </c>
      <c r="H10" s="12">
        <v>4812602</v>
      </c>
      <c r="I10" s="12">
        <v>3984133</v>
      </c>
      <c r="J10" s="12">
        <v>4257765</v>
      </c>
      <c r="K10" s="12">
        <v>5222611</v>
      </c>
      <c r="L10" s="12">
        <v>5749956</v>
      </c>
      <c r="M10" s="12">
        <v>6505430</v>
      </c>
      <c r="N10" s="12">
        <v>7700464</v>
      </c>
    </row>
    <row r="11" spans="1:14" ht="22.5" customHeight="1" x14ac:dyDescent="0.25">
      <c r="A11" s="43"/>
      <c r="B11" s="15" t="s">
        <v>17</v>
      </c>
      <c r="C11" s="12">
        <f t="shared" ref="C11:N11" si="0">SUM(C5:C8,C10)</f>
        <v>292724097</v>
      </c>
      <c r="D11" s="12">
        <f t="shared" si="0"/>
        <v>272361249</v>
      </c>
      <c r="E11" s="12">
        <f t="shared" si="0"/>
        <v>278590587</v>
      </c>
      <c r="F11" s="12">
        <f t="shared" si="0"/>
        <v>245320056</v>
      </c>
      <c r="G11" s="12">
        <f t="shared" si="0"/>
        <v>249957084</v>
      </c>
      <c r="H11" s="12">
        <f t="shared" si="0"/>
        <v>232002374</v>
      </c>
      <c r="I11" s="12">
        <f t="shared" si="0"/>
        <v>226930034</v>
      </c>
      <c r="J11" s="12">
        <f t="shared" si="0"/>
        <v>227133954</v>
      </c>
      <c r="K11" s="12">
        <f t="shared" si="0"/>
        <v>231214691</v>
      </c>
      <c r="L11" s="12">
        <f t="shared" si="0"/>
        <v>251707361</v>
      </c>
      <c r="M11" s="12">
        <f t="shared" si="0"/>
        <v>268535663</v>
      </c>
      <c r="N11" s="12">
        <f t="shared" si="0"/>
        <v>285998755</v>
      </c>
    </row>
    <row r="12" spans="1:14" ht="22.5" customHeight="1" x14ac:dyDescent="0.25">
      <c r="A12" s="47" t="s">
        <v>17</v>
      </c>
      <c r="B12" s="48"/>
      <c r="C12" s="16">
        <f>C11</f>
        <v>292724097</v>
      </c>
      <c r="D12" s="16">
        <f t="shared" ref="D12:M12" si="1">D11</f>
        <v>272361249</v>
      </c>
      <c r="E12" s="16">
        <f t="shared" si="1"/>
        <v>278590587</v>
      </c>
      <c r="F12" s="16">
        <f t="shared" si="1"/>
        <v>245320056</v>
      </c>
      <c r="G12" s="16">
        <f t="shared" si="1"/>
        <v>249957084</v>
      </c>
      <c r="H12" s="16">
        <f t="shared" si="1"/>
        <v>232002374</v>
      </c>
      <c r="I12" s="16">
        <f t="shared" si="1"/>
        <v>226930034</v>
      </c>
      <c r="J12" s="16">
        <f t="shared" si="1"/>
        <v>227133954</v>
      </c>
      <c r="K12" s="16">
        <f t="shared" si="1"/>
        <v>231214691</v>
      </c>
      <c r="L12" s="16">
        <f t="shared" si="1"/>
        <v>251707361</v>
      </c>
      <c r="M12" s="16">
        <f t="shared" si="1"/>
        <v>268535663</v>
      </c>
      <c r="N12" s="16">
        <f>N11</f>
        <v>285998755</v>
      </c>
    </row>
    <row r="14" spans="1:14" ht="22.5" customHeight="1" x14ac:dyDescent="0.25"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</sheetData>
  <mergeCells count="5">
    <mergeCell ref="A12:B12"/>
    <mergeCell ref="A2:N2"/>
    <mergeCell ref="B4:N4"/>
    <mergeCell ref="A4:A11"/>
    <mergeCell ref="B9:N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opLeftCell="A4" workbookViewId="0">
      <selection activeCell="E4" sqref="A1:XFD1048576"/>
    </sheetView>
  </sheetViews>
  <sheetFormatPr defaultColWidth="9.140625" defaultRowHeight="22.5" customHeight="1" x14ac:dyDescent="0.25"/>
  <cols>
    <col min="1" max="1" width="24.85546875" style="1" customWidth="1"/>
    <col min="2" max="2" width="21.2851562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4" width="24.28515625" style="1" customWidth="1"/>
    <col min="15" max="16384" width="9.140625" style="1"/>
  </cols>
  <sheetData>
    <row r="1" spans="1:14" s="2" customFormat="1" ht="22.5" customHeight="1" x14ac:dyDescent="0.25"/>
    <row r="2" spans="1:14" s="2" customFormat="1" ht="42.75" customHeight="1" x14ac:dyDescent="0.25">
      <c r="A2" s="40" t="s">
        <v>21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s="6" customFormat="1" ht="33" customHeight="1" x14ac:dyDescent="0.25">
      <c r="A3" s="3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</row>
    <row r="4" spans="1:14" ht="22.5" customHeight="1" x14ac:dyDescent="0.25">
      <c r="A4" s="41" t="s">
        <v>23</v>
      </c>
      <c r="B4" s="44" t="s">
        <v>18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ht="22.5" customHeight="1" x14ac:dyDescent="0.25">
      <c r="A5" s="42"/>
      <c r="B5" s="13" t="s">
        <v>14</v>
      </c>
      <c r="C5" s="12">
        <v>259644669</v>
      </c>
      <c r="D5" s="12">
        <v>234635663</v>
      </c>
      <c r="E5" s="12">
        <v>252249525</v>
      </c>
      <c r="F5" s="12">
        <v>227291489</v>
      </c>
      <c r="G5" s="12">
        <v>223266936</v>
      </c>
      <c r="H5" s="12">
        <v>216803308</v>
      </c>
      <c r="I5" s="12">
        <v>229490065</v>
      </c>
      <c r="J5" s="12">
        <v>225335104</v>
      </c>
      <c r="K5" s="12">
        <v>221024335</v>
      </c>
      <c r="L5" s="12">
        <v>245365261</v>
      </c>
      <c r="M5" s="12">
        <v>264490061</v>
      </c>
      <c r="N5" s="12">
        <v>276636374</v>
      </c>
    </row>
    <row r="6" spans="1:14" ht="22.5" customHeight="1" x14ac:dyDescent="0.25">
      <c r="A6" s="42"/>
      <c r="B6" s="13" t="s">
        <v>22</v>
      </c>
      <c r="C6" s="12">
        <v>3497175</v>
      </c>
      <c r="D6" s="12">
        <v>3275333</v>
      </c>
      <c r="E6" s="12">
        <v>3130174</v>
      </c>
      <c r="F6" s="12">
        <v>2509749</v>
      </c>
      <c r="G6" s="12">
        <v>1724990</v>
      </c>
      <c r="H6" s="12">
        <v>990864</v>
      </c>
      <c r="I6" s="12">
        <v>938532</v>
      </c>
      <c r="J6" s="12">
        <v>975201</v>
      </c>
      <c r="K6" s="12">
        <v>1476950</v>
      </c>
      <c r="L6" s="12">
        <v>2300713</v>
      </c>
      <c r="M6" s="12">
        <v>2936298</v>
      </c>
      <c r="N6" s="12">
        <v>3212639</v>
      </c>
    </row>
    <row r="7" spans="1:14" ht="22.5" customHeight="1" x14ac:dyDescent="0.25">
      <c r="A7" s="42"/>
      <c r="B7" s="13" t="s">
        <v>15</v>
      </c>
      <c r="C7" s="12">
        <v>9681370</v>
      </c>
      <c r="D7" s="12">
        <v>9660165</v>
      </c>
      <c r="E7" s="12">
        <v>8722409</v>
      </c>
      <c r="F7" s="12">
        <v>7125756</v>
      </c>
      <c r="G7" s="12">
        <v>5169413</v>
      </c>
      <c r="H7" s="12">
        <v>4234101</v>
      </c>
      <c r="I7" s="12">
        <v>4233919</v>
      </c>
      <c r="J7" s="12">
        <v>4335581</v>
      </c>
      <c r="K7" s="12">
        <v>6235547</v>
      </c>
      <c r="L7" s="12">
        <v>5650214</v>
      </c>
      <c r="M7" s="12">
        <v>9281516</v>
      </c>
      <c r="N7" s="12">
        <v>9848188</v>
      </c>
    </row>
    <row r="8" spans="1:14" ht="48" customHeight="1" x14ac:dyDescent="0.25">
      <c r="A8" s="42"/>
      <c r="B8" s="13" t="s">
        <v>16</v>
      </c>
      <c r="C8" s="12">
        <v>1325198</v>
      </c>
      <c r="D8" s="12">
        <v>1437322</v>
      </c>
      <c r="E8" s="12">
        <v>1218141</v>
      </c>
      <c r="F8" s="12">
        <v>958441</v>
      </c>
      <c r="G8" s="12">
        <v>907112</v>
      </c>
      <c r="H8" s="12">
        <v>615198</v>
      </c>
      <c r="I8" s="12">
        <v>574333</v>
      </c>
      <c r="J8" s="12">
        <v>628457</v>
      </c>
      <c r="K8" s="12">
        <v>786629</v>
      </c>
      <c r="L8" s="12">
        <v>1114738</v>
      </c>
      <c r="M8" s="12">
        <v>1720132</v>
      </c>
      <c r="N8" s="12">
        <v>1675671</v>
      </c>
    </row>
    <row r="9" spans="1:14" ht="22.5" customHeight="1" x14ac:dyDescent="0.25">
      <c r="A9" s="42"/>
      <c r="B9" s="44" t="s">
        <v>24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6"/>
    </row>
    <row r="10" spans="1:14" ht="22.5" customHeight="1" x14ac:dyDescent="0.25">
      <c r="A10" s="42"/>
      <c r="B10" s="14"/>
      <c r="C10" s="12">
        <v>7537803</v>
      </c>
      <c r="D10" s="12">
        <v>7743805</v>
      </c>
      <c r="E10" s="12">
        <v>6475888</v>
      </c>
      <c r="F10" s="12">
        <v>5339668</v>
      </c>
      <c r="G10" s="12">
        <v>4942946</v>
      </c>
      <c r="H10" s="12">
        <v>4351596</v>
      </c>
      <c r="I10" s="12">
        <v>3824763</v>
      </c>
      <c r="J10" s="12">
        <v>3873879</v>
      </c>
      <c r="K10" s="12">
        <v>4661456</v>
      </c>
      <c r="L10" s="12">
        <f>2729003+2442050</f>
        <v>5171053</v>
      </c>
      <c r="M10" s="12">
        <f>3535932+3198100</f>
        <v>6734032</v>
      </c>
      <c r="N10" s="12">
        <f>3862188+3165831</f>
        <v>7028019</v>
      </c>
    </row>
    <row r="11" spans="1:14" ht="22.5" customHeight="1" x14ac:dyDescent="0.25">
      <c r="A11" s="43"/>
      <c r="B11" s="15" t="s">
        <v>17</v>
      </c>
      <c r="C11" s="12">
        <f t="shared" ref="C11:L11" si="0">SUM(C5:C8,C10)</f>
        <v>281686215</v>
      </c>
      <c r="D11" s="12">
        <f t="shared" si="0"/>
        <v>256752288</v>
      </c>
      <c r="E11" s="12">
        <f t="shared" si="0"/>
        <v>271796137</v>
      </c>
      <c r="F11" s="12">
        <f t="shared" si="0"/>
        <v>243225103</v>
      </c>
      <c r="G11" s="12">
        <f t="shared" si="0"/>
        <v>236011397</v>
      </c>
      <c r="H11" s="12">
        <f t="shared" si="0"/>
        <v>226995067</v>
      </c>
      <c r="I11" s="12">
        <f t="shared" si="0"/>
        <v>239061612</v>
      </c>
      <c r="J11" s="12">
        <f t="shared" si="0"/>
        <v>235148222</v>
      </c>
      <c r="K11" s="12">
        <f t="shared" si="0"/>
        <v>234184917</v>
      </c>
      <c r="L11" s="12">
        <f t="shared" si="0"/>
        <v>259601979</v>
      </c>
      <c r="M11" s="12">
        <f>SUM(M5:M8,M10)</f>
        <v>285162039</v>
      </c>
      <c r="N11" s="12">
        <f>SUM(N5:N8,N10)</f>
        <v>298400891</v>
      </c>
    </row>
    <row r="12" spans="1:14" ht="22.5" customHeight="1" x14ac:dyDescent="0.25">
      <c r="A12" s="47" t="s">
        <v>17</v>
      </c>
      <c r="B12" s="48"/>
      <c r="C12" s="16">
        <f>C11</f>
        <v>281686215</v>
      </c>
      <c r="D12" s="16">
        <f t="shared" ref="D12:M12" si="1">D11</f>
        <v>256752288</v>
      </c>
      <c r="E12" s="16">
        <f t="shared" si="1"/>
        <v>271796137</v>
      </c>
      <c r="F12" s="16">
        <f t="shared" si="1"/>
        <v>243225103</v>
      </c>
      <c r="G12" s="16">
        <f t="shared" si="1"/>
        <v>236011397</v>
      </c>
      <c r="H12" s="16">
        <f t="shared" si="1"/>
        <v>226995067</v>
      </c>
      <c r="I12" s="16">
        <f t="shared" si="1"/>
        <v>239061612</v>
      </c>
      <c r="J12" s="16">
        <f t="shared" si="1"/>
        <v>235148222</v>
      </c>
      <c r="K12" s="16">
        <f t="shared" si="1"/>
        <v>234184917</v>
      </c>
      <c r="L12" s="16">
        <f t="shared" si="1"/>
        <v>259601979</v>
      </c>
      <c r="M12" s="16">
        <f t="shared" si="1"/>
        <v>285162039</v>
      </c>
      <c r="N12" s="16">
        <f t="shared" ref="N12" si="2">N11</f>
        <v>298400891</v>
      </c>
    </row>
    <row r="13" spans="1:14" ht="22.5" customHeight="1" x14ac:dyDescent="0.25">
      <c r="C13" s="8"/>
      <c r="D13" s="8"/>
      <c r="E13" s="8"/>
      <c r="F13" s="8"/>
      <c r="G13" s="8"/>
    </row>
  </sheetData>
  <mergeCells count="5">
    <mergeCell ref="A12:B12"/>
    <mergeCell ref="A2:N2"/>
    <mergeCell ref="B4:N4"/>
    <mergeCell ref="A4:A11"/>
    <mergeCell ref="B9:N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view="pageBreakPreview" zoomScale="80" zoomScaleNormal="80" zoomScaleSheetLayoutView="80" workbookViewId="0">
      <selection activeCell="C5" sqref="C5"/>
    </sheetView>
  </sheetViews>
  <sheetFormatPr defaultColWidth="9.140625" defaultRowHeight="22.5" customHeight="1" x14ac:dyDescent="0.25"/>
  <cols>
    <col min="1" max="1" width="24.85546875" style="1" customWidth="1"/>
    <col min="2" max="2" width="21.2851562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4" width="24.28515625" style="1" customWidth="1"/>
    <col min="15" max="16384" width="9.140625" style="1"/>
  </cols>
  <sheetData>
    <row r="1" spans="1:14" s="2" customFormat="1" ht="22.5" customHeight="1" x14ac:dyDescent="0.25"/>
    <row r="2" spans="1:14" s="2" customFormat="1" ht="42.75" customHeight="1" x14ac:dyDescent="0.25">
      <c r="A2" s="40" t="s">
        <v>25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s="6" customFormat="1" ht="33" customHeight="1" x14ac:dyDescent="0.25">
      <c r="A3" s="3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</row>
    <row r="4" spans="1:14" ht="22.5" customHeight="1" x14ac:dyDescent="0.25">
      <c r="A4" s="41" t="s">
        <v>23</v>
      </c>
      <c r="B4" s="44" t="s">
        <v>18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ht="22.5" customHeight="1" x14ac:dyDescent="0.25">
      <c r="A5" s="42"/>
      <c r="B5" s="13" t="s">
        <v>14</v>
      </c>
      <c r="C5" s="12">
        <v>278491764</v>
      </c>
      <c r="D5" s="12">
        <v>256585703</v>
      </c>
      <c r="E5" s="12">
        <v>265058458</v>
      </c>
      <c r="F5" s="12">
        <v>248792092</v>
      </c>
      <c r="G5" s="12">
        <v>248439956</v>
      </c>
      <c r="H5" s="12">
        <v>237561809</v>
      </c>
      <c r="I5" s="12">
        <v>238617420</v>
      </c>
      <c r="J5" s="12">
        <v>241135704</v>
      </c>
      <c r="K5" s="12">
        <v>240209600</v>
      </c>
      <c r="L5" s="12">
        <v>277416090</v>
      </c>
      <c r="M5" s="12">
        <v>290159124</v>
      </c>
      <c r="N5" s="12">
        <v>303286699</v>
      </c>
    </row>
    <row r="6" spans="1:14" ht="22.5" customHeight="1" x14ac:dyDescent="0.25">
      <c r="A6" s="42"/>
      <c r="B6" s="13" t="s">
        <v>22</v>
      </c>
      <c r="C6" s="12">
        <v>3530188</v>
      </c>
      <c r="D6" s="12">
        <v>3043178</v>
      </c>
      <c r="E6" s="12">
        <v>2776575</v>
      </c>
      <c r="F6" s="12">
        <v>2289796</v>
      </c>
      <c r="G6" s="12">
        <v>1755773</v>
      </c>
      <c r="H6" s="12">
        <v>965991</v>
      </c>
      <c r="I6" s="12">
        <v>795563</v>
      </c>
      <c r="J6" s="12">
        <v>957873</v>
      </c>
      <c r="K6" s="12">
        <v>1179602</v>
      </c>
      <c r="L6" s="12">
        <v>2327019</v>
      </c>
      <c r="M6" s="12">
        <v>3063062</v>
      </c>
      <c r="N6" s="12">
        <v>3091516</v>
      </c>
    </row>
    <row r="7" spans="1:14" ht="22.5" customHeight="1" x14ac:dyDescent="0.25">
      <c r="A7" s="42"/>
      <c r="B7" s="13" t="s">
        <v>15</v>
      </c>
      <c r="C7" s="12">
        <v>10661438</v>
      </c>
      <c r="D7" s="12">
        <v>9763465</v>
      </c>
      <c r="E7" s="12">
        <v>8088329</v>
      </c>
      <c r="F7" s="12">
        <v>6773332</v>
      </c>
      <c r="G7" s="12">
        <v>5380578</v>
      </c>
      <c r="H7" s="12">
        <v>4341343</v>
      </c>
      <c r="I7" s="12">
        <v>4103103</v>
      </c>
      <c r="J7" s="12">
        <v>4461630</v>
      </c>
      <c r="K7" s="12">
        <v>5118908</v>
      </c>
      <c r="L7" s="12">
        <v>7084458</v>
      </c>
      <c r="M7" s="12">
        <v>9118679</v>
      </c>
      <c r="N7" s="12">
        <v>9907707</v>
      </c>
    </row>
    <row r="8" spans="1:14" ht="48" customHeight="1" x14ac:dyDescent="0.25">
      <c r="A8" s="42"/>
      <c r="B8" s="13" t="s">
        <v>16</v>
      </c>
      <c r="C8" s="12">
        <v>2109224</v>
      </c>
      <c r="D8" s="12">
        <v>1928782</v>
      </c>
      <c r="E8" s="12">
        <v>1556239</v>
      </c>
      <c r="F8" s="12">
        <v>1174649</v>
      </c>
      <c r="G8" s="12">
        <v>929310</v>
      </c>
      <c r="H8" s="12">
        <v>674096</v>
      </c>
      <c r="I8" s="12">
        <v>551899</v>
      </c>
      <c r="J8" s="12">
        <v>587080</v>
      </c>
      <c r="K8" s="12">
        <v>678799</v>
      </c>
      <c r="L8" s="12">
        <v>1190988</v>
      </c>
      <c r="M8" s="12">
        <v>1790007</v>
      </c>
      <c r="N8" s="12">
        <v>1689001</v>
      </c>
    </row>
    <row r="9" spans="1:14" ht="22.5" customHeight="1" x14ac:dyDescent="0.25">
      <c r="A9" s="42"/>
      <c r="B9" s="44" t="s">
        <v>24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6"/>
    </row>
    <row r="10" spans="1:14" ht="22.5" customHeight="1" x14ac:dyDescent="0.25">
      <c r="A10" s="42"/>
      <c r="B10" s="14"/>
      <c r="C10" s="12">
        <f>4403294+3823299</f>
        <v>8226593</v>
      </c>
      <c r="D10" s="12">
        <f>4217924+3900012</f>
        <v>8117936</v>
      </c>
      <c r="E10" s="12">
        <f>3406102+2959856</f>
        <v>6365958</v>
      </c>
      <c r="F10" s="12">
        <f>2939615+2525019</f>
        <v>5464634</v>
      </c>
      <c r="G10" s="12">
        <f>2760737+2583781</f>
        <v>5344518</v>
      </c>
      <c r="H10" s="12">
        <f>2312878+2246542+1222</f>
        <v>4560642</v>
      </c>
      <c r="I10" s="12">
        <v>3999036</v>
      </c>
      <c r="J10" s="12">
        <v>4232461</v>
      </c>
      <c r="K10" s="12">
        <v>4657671.8000000007</v>
      </c>
      <c r="L10" s="12">
        <v>5752778</v>
      </c>
      <c r="M10" s="12">
        <v>7039673</v>
      </c>
      <c r="N10" s="12">
        <v>7079973</v>
      </c>
    </row>
    <row r="11" spans="1:14" ht="22.5" customHeight="1" x14ac:dyDescent="0.25">
      <c r="A11" s="43"/>
      <c r="B11" s="15" t="s">
        <v>17</v>
      </c>
      <c r="C11" s="12">
        <f t="shared" ref="C11:G11" si="0">SUM(C5:C8,C10)</f>
        <v>303019207</v>
      </c>
      <c r="D11" s="12">
        <f t="shared" si="0"/>
        <v>279439064</v>
      </c>
      <c r="E11" s="12">
        <f t="shared" si="0"/>
        <v>283845559</v>
      </c>
      <c r="F11" s="12">
        <f t="shared" si="0"/>
        <v>264494503</v>
      </c>
      <c r="G11" s="12">
        <f t="shared" si="0"/>
        <v>261850135</v>
      </c>
      <c r="H11" s="12">
        <f t="shared" ref="H11:N11" si="1">SUM(H5:H8,H10)</f>
        <v>248103881</v>
      </c>
      <c r="I11" s="12">
        <f t="shared" si="1"/>
        <v>248067021</v>
      </c>
      <c r="J11" s="12">
        <f t="shared" si="1"/>
        <v>251374748</v>
      </c>
      <c r="K11" s="12">
        <f t="shared" si="1"/>
        <v>251844580.80000001</v>
      </c>
      <c r="L11" s="12">
        <f t="shared" si="1"/>
        <v>293771333</v>
      </c>
      <c r="M11" s="12">
        <f t="shared" si="1"/>
        <v>311170545</v>
      </c>
      <c r="N11" s="12">
        <f t="shared" si="1"/>
        <v>325054896</v>
      </c>
    </row>
    <row r="12" spans="1:14" ht="22.5" customHeight="1" x14ac:dyDescent="0.25">
      <c r="A12" s="47" t="s">
        <v>17</v>
      </c>
      <c r="B12" s="48"/>
      <c r="C12" s="16">
        <f>C11</f>
        <v>303019207</v>
      </c>
      <c r="D12" s="16">
        <f>D11</f>
        <v>279439064</v>
      </c>
      <c r="E12" s="16">
        <f t="shared" ref="E12:N12" si="2">E11</f>
        <v>283845559</v>
      </c>
      <c r="F12" s="16">
        <f t="shared" si="2"/>
        <v>264494503</v>
      </c>
      <c r="G12" s="16">
        <f t="shared" si="2"/>
        <v>261850135</v>
      </c>
      <c r="H12" s="16">
        <f t="shared" si="2"/>
        <v>248103881</v>
      </c>
      <c r="I12" s="16">
        <f>I11</f>
        <v>248067021</v>
      </c>
      <c r="J12" s="16">
        <f t="shared" si="2"/>
        <v>251374748</v>
      </c>
      <c r="K12" s="16">
        <f>K11</f>
        <v>251844580.80000001</v>
      </c>
      <c r="L12" s="16">
        <f t="shared" si="2"/>
        <v>293771333</v>
      </c>
      <c r="M12" s="16">
        <f t="shared" si="2"/>
        <v>311170545</v>
      </c>
      <c r="N12" s="16">
        <f t="shared" si="2"/>
        <v>325054896</v>
      </c>
    </row>
    <row r="13" spans="1:14" ht="22.5" customHeight="1" x14ac:dyDescent="0.25">
      <c r="C13" s="8"/>
      <c r="D13" s="8"/>
      <c r="E13" s="8"/>
      <c r="F13" s="8"/>
      <c r="G13" s="8"/>
    </row>
  </sheetData>
  <mergeCells count="5">
    <mergeCell ref="A2:N2"/>
    <mergeCell ref="A4:A11"/>
    <mergeCell ref="B4:N4"/>
    <mergeCell ref="B9:N9"/>
    <mergeCell ref="A12:B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Normal="100" workbookViewId="0">
      <selection activeCell="F30" sqref="F30"/>
    </sheetView>
  </sheetViews>
  <sheetFormatPr defaultRowHeight="15" x14ac:dyDescent="0.25"/>
  <cols>
    <col min="1" max="1" width="17.42578125" customWidth="1"/>
    <col min="2" max="2" width="15.5703125" customWidth="1"/>
    <col min="3" max="3" width="17.42578125" customWidth="1"/>
    <col min="4" max="4" width="21" customWidth="1"/>
    <col min="5" max="5" width="18.42578125" customWidth="1"/>
    <col min="6" max="6" width="18" customWidth="1"/>
    <col min="7" max="7" width="17.5703125" customWidth="1"/>
    <col min="8" max="8" width="17.28515625" customWidth="1"/>
    <col min="9" max="9" width="17.7109375" customWidth="1"/>
    <col min="10" max="10" width="15.85546875" customWidth="1"/>
    <col min="11" max="11" width="17.140625" customWidth="1"/>
    <col min="12" max="12" width="18.28515625" customWidth="1"/>
    <col min="13" max="14" width="17.7109375" customWidth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25">
      <c r="A2" s="40" t="s">
        <v>26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28.5" x14ac:dyDescent="0.25">
      <c r="A3" s="3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</row>
    <row r="4" spans="1:14" x14ac:dyDescent="0.25">
      <c r="A4" s="41" t="s">
        <v>23</v>
      </c>
      <c r="B4" s="44" t="s">
        <v>18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25">
      <c r="A5" s="42"/>
      <c r="B5" s="13" t="s">
        <v>14</v>
      </c>
      <c r="C5" s="12">
        <v>296404407</v>
      </c>
      <c r="D5" s="12">
        <v>269072466</v>
      </c>
      <c r="E5" s="12">
        <v>289348980</v>
      </c>
      <c r="F5" s="12">
        <v>267574919</v>
      </c>
      <c r="G5" s="12">
        <v>261701865</v>
      </c>
      <c r="H5" s="12">
        <v>251924678</v>
      </c>
      <c r="I5" s="12">
        <v>259803996</v>
      </c>
      <c r="J5" s="12">
        <v>259803996</v>
      </c>
      <c r="K5" s="12">
        <v>253549426</v>
      </c>
      <c r="L5" s="12">
        <v>280353970</v>
      </c>
      <c r="M5" s="12">
        <v>293474502</v>
      </c>
      <c r="N5" s="12">
        <v>313865921</v>
      </c>
    </row>
    <row r="6" spans="1:14" x14ac:dyDescent="0.25">
      <c r="A6" s="42"/>
      <c r="B6" s="13" t="s">
        <v>22</v>
      </c>
      <c r="C6" s="12">
        <f>3404362</f>
        <v>3404362</v>
      </c>
      <c r="D6" s="12">
        <f>2952196</f>
        <v>2952196</v>
      </c>
      <c r="E6" s="12">
        <f>2725517</f>
        <v>2725517</v>
      </c>
      <c r="F6" s="12">
        <f>2270217</f>
        <v>2270217</v>
      </c>
      <c r="G6" s="12">
        <f>1545131</f>
        <v>1545131</v>
      </c>
      <c r="H6" s="12">
        <f>684242</f>
        <v>684242</v>
      </c>
      <c r="I6" s="12">
        <f>906509</f>
        <v>906509</v>
      </c>
      <c r="J6" s="12">
        <f>906509</f>
        <v>906509</v>
      </c>
      <c r="K6" s="12">
        <v>1810739</v>
      </c>
      <c r="L6" s="12">
        <v>2708806</v>
      </c>
      <c r="M6" s="12">
        <v>3326877</v>
      </c>
      <c r="N6" s="12">
        <v>4008551</v>
      </c>
    </row>
    <row r="7" spans="1:14" x14ac:dyDescent="0.25">
      <c r="A7" s="42"/>
      <c r="B7" s="13" t="s">
        <v>15</v>
      </c>
      <c r="C7" s="12">
        <v>9854670</v>
      </c>
      <c r="D7" s="12">
        <v>9599552</v>
      </c>
      <c r="E7" s="12">
        <v>7490487</v>
      </c>
      <c r="F7" s="12">
        <v>6572219</v>
      </c>
      <c r="G7" s="12">
        <v>5471323</v>
      </c>
      <c r="H7" s="12">
        <v>4510575</v>
      </c>
      <c r="I7" s="12">
        <v>4202819</v>
      </c>
      <c r="J7" s="12">
        <v>4202819</v>
      </c>
      <c r="K7" s="12">
        <v>5170104</v>
      </c>
      <c r="L7" s="12">
        <v>7068435</v>
      </c>
      <c r="M7" s="12">
        <v>8531245</v>
      </c>
      <c r="N7" s="12">
        <v>10344024</v>
      </c>
    </row>
    <row r="8" spans="1:14" x14ac:dyDescent="0.25">
      <c r="A8" s="42"/>
      <c r="B8" s="13" t="s">
        <v>16</v>
      </c>
      <c r="C8" s="12">
        <f>2010239</f>
        <v>2010239</v>
      </c>
      <c r="D8" s="12">
        <f>1871159</f>
        <v>1871159</v>
      </c>
      <c r="E8" s="12">
        <f>1408555</f>
        <v>1408555</v>
      </c>
      <c r="F8" s="12">
        <f>1179721</f>
        <v>1179721</v>
      </c>
      <c r="G8" s="12">
        <f>999403</f>
        <v>999403</v>
      </c>
      <c r="H8" s="12">
        <f>656410</f>
        <v>656410</v>
      </c>
      <c r="I8" s="12">
        <f>656685</f>
        <v>656685</v>
      </c>
      <c r="J8" s="12">
        <f>656685+4013</f>
        <v>660698</v>
      </c>
      <c r="K8" s="12">
        <v>840561</v>
      </c>
      <c r="L8" s="12">
        <v>980272</v>
      </c>
      <c r="M8" s="12">
        <v>1298822</v>
      </c>
      <c r="N8" s="12">
        <v>1429773</v>
      </c>
    </row>
    <row r="9" spans="1:14" x14ac:dyDescent="0.25">
      <c r="A9" s="42"/>
      <c r="B9" s="44" t="s">
        <v>24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6"/>
    </row>
    <row r="10" spans="1:14" x14ac:dyDescent="0.25">
      <c r="A10" s="42"/>
      <c r="B10" s="14"/>
      <c r="C10" s="12">
        <f>7876317</f>
        <v>7876317</v>
      </c>
      <c r="D10" s="12">
        <f>7515261</f>
        <v>7515261</v>
      </c>
      <c r="E10" s="12">
        <f>5731054</f>
        <v>5731054</v>
      </c>
      <c r="F10" s="12">
        <f>5194457</f>
        <v>5194457</v>
      </c>
      <c r="G10" s="12">
        <f>4782615</f>
        <v>4782615</v>
      </c>
      <c r="H10" s="12">
        <f>4299375</f>
        <v>4299375</v>
      </c>
      <c r="I10" s="12">
        <f>3679939</f>
        <v>3679939</v>
      </c>
      <c r="J10" s="12">
        <f>3679939+11979</f>
        <v>3691918</v>
      </c>
      <c r="K10" s="12">
        <v>4945543</v>
      </c>
      <c r="L10" s="12">
        <v>4830702</v>
      </c>
      <c r="M10" s="12">
        <v>5738747</v>
      </c>
      <c r="N10" s="12">
        <v>6763830</v>
      </c>
    </row>
    <row r="11" spans="1:14" x14ac:dyDescent="0.25">
      <c r="A11" s="43"/>
      <c r="B11" s="15" t="s">
        <v>17</v>
      </c>
      <c r="C11" s="12">
        <f t="shared" ref="C11:N11" si="0">SUM(C5:C8,C10)</f>
        <v>319549995</v>
      </c>
      <c r="D11" s="12">
        <f t="shared" si="0"/>
        <v>291010634</v>
      </c>
      <c r="E11" s="12">
        <f t="shared" si="0"/>
        <v>306704593</v>
      </c>
      <c r="F11" s="12">
        <f t="shared" si="0"/>
        <v>282791533</v>
      </c>
      <c r="G11" s="12">
        <f>SUM(G5:G8,G10)</f>
        <v>274500337</v>
      </c>
      <c r="H11" s="12">
        <f t="shared" si="0"/>
        <v>262075280</v>
      </c>
      <c r="I11" s="12">
        <f t="shared" ref="I11:J11" si="1">SUM(I5:I8,I10)</f>
        <v>269249948</v>
      </c>
      <c r="J11" s="12">
        <f t="shared" si="1"/>
        <v>269265940</v>
      </c>
      <c r="K11" s="12">
        <f t="shared" ref="K11" si="2">SUM(K5:K8,K10)</f>
        <v>266316373</v>
      </c>
      <c r="L11" s="12">
        <f t="shared" si="0"/>
        <v>295942185</v>
      </c>
      <c r="M11" s="12">
        <f t="shared" si="0"/>
        <v>312370193</v>
      </c>
      <c r="N11" s="12">
        <f t="shared" si="0"/>
        <v>336412099</v>
      </c>
    </row>
    <row r="12" spans="1:14" ht="23.25" customHeight="1" x14ac:dyDescent="0.25">
      <c r="A12" s="41" t="s">
        <v>27</v>
      </c>
      <c r="B12" s="17" t="s">
        <v>14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 ht="18.75" customHeight="1" x14ac:dyDescent="0.25">
      <c r="A13" s="42"/>
      <c r="B13" s="17" t="s">
        <v>22</v>
      </c>
      <c r="C13" s="12">
        <v>6</v>
      </c>
      <c r="D13" s="12">
        <v>6</v>
      </c>
      <c r="E13" s="12">
        <v>6</v>
      </c>
      <c r="F13" s="12">
        <v>6</v>
      </c>
      <c r="G13" s="12">
        <v>6</v>
      </c>
      <c r="H13" s="12">
        <v>6</v>
      </c>
      <c r="I13" s="12">
        <v>6</v>
      </c>
      <c r="J13" s="12">
        <v>6</v>
      </c>
      <c r="K13" s="12">
        <v>6</v>
      </c>
      <c r="L13" s="12">
        <v>6</v>
      </c>
      <c r="M13" s="12">
        <v>6</v>
      </c>
      <c r="N13" s="12">
        <v>6</v>
      </c>
    </row>
    <row r="14" spans="1:14" ht="17.25" customHeight="1" x14ac:dyDescent="0.25">
      <c r="A14" s="42"/>
      <c r="B14" s="17" t="s">
        <v>15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 ht="19.5" customHeight="1" x14ac:dyDescent="0.25">
      <c r="A15" s="42"/>
      <c r="B15" s="17" t="s">
        <v>16</v>
      </c>
      <c r="C15" s="12">
        <v>9019</v>
      </c>
      <c r="D15" s="12">
        <v>7576</v>
      </c>
      <c r="E15" s="12">
        <v>5819</v>
      </c>
      <c r="F15" s="12">
        <v>4662</v>
      </c>
      <c r="G15" s="12">
        <v>4254</v>
      </c>
      <c r="H15" s="12">
        <v>4030</v>
      </c>
      <c r="I15" s="12">
        <v>4013</v>
      </c>
      <c r="J15" s="12">
        <v>4692</v>
      </c>
      <c r="K15" s="12">
        <v>2991</v>
      </c>
      <c r="L15" s="12">
        <v>2943</v>
      </c>
      <c r="M15" s="12">
        <v>4623</v>
      </c>
      <c r="N15" s="12">
        <v>6624</v>
      </c>
    </row>
    <row r="16" spans="1:14" ht="17.25" customHeight="1" x14ac:dyDescent="0.25">
      <c r="A16" s="42"/>
      <c r="B16" s="17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 ht="23.25" customHeight="1" x14ac:dyDescent="0.25">
      <c r="A17" s="43"/>
      <c r="B17" s="17"/>
      <c r="C17" s="12">
        <v>21737</v>
      </c>
      <c r="D17" s="12">
        <v>18951</v>
      </c>
      <c r="E17" s="12">
        <v>23854</v>
      </c>
      <c r="F17" s="12">
        <v>18289</v>
      </c>
      <c r="G17" s="12">
        <v>16147</v>
      </c>
      <c r="H17" s="12">
        <v>13562</v>
      </c>
      <c r="I17" s="12">
        <v>11979</v>
      </c>
      <c r="J17" s="12">
        <v>13889</v>
      </c>
      <c r="K17" s="12">
        <v>13632</v>
      </c>
      <c r="L17" s="12">
        <v>18900</v>
      </c>
      <c r="M17" s="12">
        <v>21356</v>
      </c>
      <c r="N17" s="12">
        <v>23139</v>
      </c>
    </row>
    <row r="18" spans="1:14" ht="18.75" customHeight="1" x14ac:dyDescent="0.25">
      <c r="A18" s="47" t="s">
        <v>17</v>
      </c>
      <c r="B18" s="48"/>
      <c r="C18" s="16">
        <f t="shared" ref="C18:J18" si="3">SUM(C12:C15,C17)</f>
        <v>30762</v>
      </c>
      <c r="D18" s="16">
        <f t="shared" si="3"/>
        <v>26533</v>
      </c>
      <c r="E18" s="16">
        <f t="shared" si="3"/>
        <v>29679</v>
      </c>
      <c r="F18" s="16">
        <f t="shared" si="3"/>
        <v>22957</v>
      </c>
      <c r="G18" s="16">
        <f t="shared" si="3"/>
        <v>20407</v>
      </c>
      <c r="H18" s="16">
        <f t="shared" si="3"/>
        <v>17598</v>
      </c>
      <c r="I18" s="16">
        <f t="shared" si="3"/>
        <v>15998</v>
      </c>
      <c r="J18" s="16">
        <f t="shared" si="3"/>
        <v>18587</v>
      </c>
      <c r="K18" s="16">
        <f>SUM(K12:K15,K17)</f>
        <v>16629</v>
      </c>
      <c r="L18" s="16">
        <f>SUM(L12:L15,L17)</f>
        <v>21849</v>
      </c>
      <c r="M18" s="16">
        <f>SUM(M12:M15,M17)</f>
        <v>25985</v>
      </c>
      <c r="N18" s="16">
        <f>SUM(N12:N15,N17)</f>
        <v>29769</v>
      </c>
    </row>
    <row r="19" spans="1:14" x14ac:dyDescent="0.25">
      <c r="A19" s="41" t="s">
        <v>28</v>
      </c>
      <c r="B19" s="44" t="s">
        <v>18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6"/>
    </row>
    <row r="20" spans="1:14" x14ac:dyDescent="0.25">
      <c r="A20" s="42"/>
      <c r="B20" s="13" t="s">
        <v>14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x14ac:dyDescent="0.25">
      <c r="A21" s="42"/>
      <c r="B21" s="13" t="s">
        <v>22</v>
      </c>
      <c r="C21" s="12"/>
      <c r="D21" s="12"/>
      <c r="E21" s="12"/>
      <c r="F21" s="12"/>
      <c r="G21" s="12"/>
      <c r="H21" s="12"/>
      <c r="I21" s="12"/>
      <c r="J21" s="12"/>
      <c r="K21" s="12"/>
      <c r="L21" s="12">
        <v>4680</v>
      </c>
      <c r="M21" s="12">
        <v>4676</v>
      </c>
      <c r="N21" s="12">
        <v>4780</v>
      </c>
    </row>
    <row r="22" spans="1:14" x14ac:dyDescent="0.25">
      <c r="A22" s="42"/>
      <c r="B22" s="13" t="s">
        <v>15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ht="15" customHeight="1" x14ac:dyDescent="0.25">
      <c r="A23" s="42"/>
      <c r="B23" s="13" t="s">
        <v>16</v>
      </c>
      <c r="C23" s="12"/>
      <c r="D23" s="12"/>
      <c r="E23" s="12"/>
      <c r="F23" s="12"/>
      <c r="G23" s="12"/>
      <c r="H23" s="12"/>
      <c r="I23" s="12"/>
      <c r="J23" s="12"/>
      <c r="K23" s="12"/>
      <c r="L23" s="12">
        <v>27125</v>
      </c>
      <c r="M23" s="12">
        <v>53380</v>
      </c>
      <c r="N23" s="12">
        <v>72936</v>
      </c>
    </row>
    <row r="24" spans="1:14" x14ac:dyDescent="0.25">
      <c r="A24" s="42"/>
      <c r="B24" s="44" t="s">
        <v>24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6"/>
    </row>
    <row r="25" spans="1:14" x14ac:dyDescent="0.25">
      <c r="A25" s="42"/>
      <c r="B25" s="14"/>
      <c r="C25" s="12"/>
      <c r="D25" s="12"/>
      <c r="E25" s="12"/>
      <c r="F25" s="12"/>
      <c r="G25" s="12"/>
      <c r="H25" s="12"/>
      <c r="I25" s="12"/>
      <c r="J25" s="12"/>
      <c r="K25" s="12"/>
      <c r="L25" s="12">
        <v>70122</v>
      </c>
      <c r="M25" s="12">
        <v>119142</v>
      </c>
      <c r="N25" s="12">
        <v>121395</v>
      </c>
    </row>
    <row r="26" spans="1:14" x14ac:dyDescent="0.25">
      <c r="A26" s="43"/>
      <c r="B26" s="15" t="s">
        <v>17</v>
      </c>
      <c r="C26" s="12">
        <f t="shared" ref="C26:F26" si="4">SUM(C20:C23,C25)</f>
        <v>0</v>
      </c>
      <c r="D26" s="12">
        <f t="shared" si="4"/>
        <v>0</v>
      </c>
      <c r="E26" s="12">
        <f t="shared" si="4"/>
        <v>0</v>
      </c>
      <c r="F26" s="12">
        <f t="shared" si="4"/>
        <v>0</v>
      </c>
      <c r="G26" s="12">
        <f>SUM(G20:G23,G25)</f>
        <v>0</v>
      </c>
      <c r="H26" s="12">
        <f t="shared" ref="H26:N26" si="5">SUM(H20:H23,H25)</f>
        <v>0</v>
      </c>
      <c r="I26" s="12">
        <f t="shared" si="5"/>
        <v>0</v>
      </c>
      <c r="J26" s="12">
        <f t="shared" si="5"/>
        <v>0</v>
      </c>
      <c r="K26" s="12">
        <f t="shared" si="5"/>
        <v>0</v>
      </c>
      <c r="L26" s="16">
        <f>SUM(L20:L23,L25)</f>
        <v>101927</v>
      </c>
      <c r="M26" s="16">
        <f t="shared" si="5"/>
        <v>177198</v>
      </c>
      <c r="N26" s="16">
        <f t="shared" si="5"/>
        <v>199111</v>
      </c>
    </row>
    <row r="27" spans="1:14" x14ac:dyDescent="0.25">
      <c r="A27" s="18"/>
    </row>
    <row r="28" spans="1:14" x14ac:dyDescent="0.25">
      <c r="A28" s="18"/>
    </row>
  </sheetData>
  <mergeCells count="9">
    <mergeCell ref="A2:N2"/>
    <mergeCell ref="A4:A11"/>
    <mergeCell ref="B4:N4"/>
    <mergeCell ref="B9:N9"/>
    <mergeCell ref="A19:A26"/>
    <mergeCell ref="B19:N19"/>
    <mergeCell ref="B24:N24"/>
    <mergeCell ref="A18:B18"/>
    <mergeCell ref="A12:A1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zoomScale="85" zoomScaleNormal="85" workbookViewId="0">
      <selection activeCell="D36" sqref="D36"/>
    </sheetView>
  </sheetViews>
  <sheetFormatPr defaultRowHeight="15" x14ac:dyDescent="0.25"/>
  <cols>
    <col min="1" max="1" width="17.42578125" customWidth="1"/>
    <col min="2" max="2" width="15.5703125" customWidth="1"/>
    <col min="3" max="3" width="17.42578125" customWidth="1"/>
    <col min="4" max="4" width="21" customWidth="1"/>
    <col min="5" max="5" width="18.42578125" customWidth="1"/>
    <col min="6" max="6" width="18" customWidth="1"/>
    <col min="7" max="7" width="17.5703125" customWidth="1"/>
    <col min="8" max="8" width="17.28515625" customWidth="1"/>
    <col min="9" max="9" width="17.7109375" customWidth="1"/>
    <col min="10" max="10" width="15.85546875" customWidth="1"/>
    <col min="11" max="11" width="17.140625" customWidth="1"/>
    <col min="12" max="12" width="18.28515625" customWidth="1"/>
    <col min="13" max="14" width="17.7109375" customWidth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25">
      <c r="A2" s="40" t="s">
        <v>29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28.5" x14ac:dyDescent="0.25">
      <c r="A3" s="3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</row>
    <row r="4" spans="1:14" x14ac:dyDescent="0.25">
      <c r="A4" s="41" t="s">
        <v>23</v>
      </c>
      <c r="B4" s="44" t="s">
        <v>18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25">
      <c r="A5" s="42"/>
      <c r="B5" s="13" t="s">
        <v>14</v>
      </c>
      <c r="C5" s="12">
        <v>317289334</v>
      </c>
      <c r="D5" s="12">
        <v>278312755</v>
      </c>
      <c r="E5" s="12">
        <v>301844803</v>
      </c>
      <c r="F5" s="12">
        <v>278533612</v>
      </c>
      <c r="G5" s="12">
        <v>271999807</v>
      </c>
      <c r="H5" s="12">
        <v>262213404</v>
      </c>
      <c r="I5" s="12">
        <v>269429623</v>
      </c>
      <c r="J5" s="12">
        <v>265126901</v>
      </c>
      <c r="K5" s="12">
        <v>269980367</v>
      </c>
      <c r="L5" s="12">
        <v>288237461</v>
      </c>
      <c r="M5" s="12">
        <v>309308219</v>
      </c>
      <c r="N5" s="12">
        <v>330595079</v>
      </c>
    </row>
    <row r="6" spans="1:14" x14ac:dyDescent="0.25">
      <c r="A6" s="42"/>
      <c r="B6" s="13" t="s">
        <v>22</v>
      </c>
      <c r="C6" s="12">
        <v>4213126</v>
      </c>
      <c r="D6" s="12">
        <v>3708120</v>
      </c>
      <c r="E6" s="12">
        <v>3524625</v>
      </c>
      <c r="F6" s="12">
        <v>2504230</v>
      </c>
      <c r="G6" s="12">
        <v>1930777</v>
      </c>
      <c r="H6" s="12">
        <v>916549</v>
      </c>
      <c r="I6" s="12">
        <v>1041690</v>
      </c>
      <c r="J6" s="12">
        <v>1011050</v>
      </c>
      <c r="K6" s="12">
        <v>1646455</v>
      </c>
      <c r="L6" s="12">
        <v>2648346</v>
      </c>
      <c r="M6" s="12">
        <v>3390777</v>
      </c>
      <c r="N6" s="12">
        <v>4048766</v>
      </c>
    </row>
    <row r="7" spans="1:14" x14ac:dyDescent="0.25">
      <c r="A7" s="42"/>
      <c r="B7" s="13" t="s">
        <v>15</v>
      </c>
      <c r="C7" s="12">
        <v>10644600</v>
      </c>
      <c r="D7" s="12">
        <v>10037136</v>
      </c>
      <c r="E7" s="12">
        <v>8445648</v>
      </c>
      <c r="F7" s="12">
        <v>6905973</v>
      </c>
      <c r="G7" s="12">
        <v>5543916</v>
      </c>
      <c r="H7" s="12">
        <v>4414488</v>
      </c>
      <c r="I7" s="12">
        <v>4351846</v>
      </c>
      <c r="J7" s="12">
        <v>4562003</v>
      </c>
      <c r="K7" s="12">
        <v>5370124</v>
      </c>
      <c r="L7" s="12">
        <v>6662761</v>
      </c>
      <c r="M7" s="12">
        <v>8702931</v>
      </c>
      <c r="N7" s="12">
        <v>9832252</v>
      </c>
    </row>
    <row r="8" spans="1:14" x14ac:dyDescent="0.25">
      <c r="A8" s="42"/>
      <c r="B8" s="13" t="s">
        <v>16</v>
      </c>
      <c r="C8" s="12">
        <v>1482203</v>
      </c>
      <c r="D8" s="12">
        <v>1535003</v>
      </c>
      <c r="E8" s="12">
        <v>1227198</v>
      </c>
      <c r="F8" s="12">
        <v>934741</v>
      </c>
      <c r="G8" s="12">
        <v>808818</v>
      </c>
      <c r="H8" s="12">
        <v>626993</v>
      </c>
      <c r="I8" s="12">
        <v>603355</v>
      </c>
      <c r="J8" s="12">
        <v>616753</v>
      </c>
      <c r="K8" s="12">
        <v>754306</v>
      </c>
      <c r="L8" s="12">
        <v>837768</v>
      </c>
      <c r="M8" s="12">
        <v>1159689</v>
      </c>
      <c r="N8" s="12">
        <v>1316696</v>
      </c>
    </row>
    <row r="9" spans="1:14" x14ac:dyDescent="0.25">
      <c r="A9" s="42"/>
      <c r="B9" s="44" t="s">
        <v>24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6"/>
    </row>
    <row r="10" spans="1:14" x14ac:dyDescent="0.25">
      <c r="A10" s="42"/>
      <c r="B10" s="14"/>
      <c r="C10" s="12">
        <v>7587532</v>
      </c>
      <c r="D10" s="12">
        <v>7930110</v>
      </c>
      <c r="E10" s="12">
        <v>6214324</v>
      </c>
      <c r="F10" s="12">
        <v>5232631</v>
      </c>
      <c r="G10" s="12">
        <v>4751920</v>
      </c>
      <c r="H10" s="12">
        <v>4751920</v>
      </c>
      <c r="I10" s="12">
        <v>3598099</v>
      </c>
      <c r="J10" s="12">
        <v>3789737</v>
      </c>
      <c r="K10" s="12">
        <v>4484355</v>
      </c>
      <c r="L10" s="12">
        <v>4463414</v>
      </c>
      <c r="M10" s="12">
        <v>5790198</v>
      </c>
      <c r="N10" s="12">
        <v>7325145</v>
      </c>
    </row>
    <row r="11" spans="1:14" x14ac:dyDescent="0.25">
      <c r="A11" s="43"/>
      <c r="B11" s="15" t="s">
        <v>17</v>
      </c>
      <c r="C11" s="16">
        <f t="shared" ref="C11:D11" si="0">SUM(C5:C8,C10)</f>
        <v>341216795</v>
      </c>
      <c r="D11" s="16">
        <f t="shared" si="0"/>
        <v>301523124</v>
      </c>
      <c r="E11" s="16">
        <f>SUM(E5:E8,E10)</f>
        <v>321256598</v>
      </c>
      <c r="F11" s="16">
        <f>SUM(F5:F8,F10)</f>
        <v>294111187</v>
      </c>
      <c r="G11" s="16">
        <f>SUM(G5:G8,G10)</f>
        <v>285035238</v>
      </c>
      <c r="H11" s="16">
        <f>SUM(H5:H8,H10)</f>
        <v>272923354</v>
      </c>
      <c r="I11" s="16">
        <f t="shared" ref="I11:N11" si="1">SUM(I5:I8,I10)</f>
        <v>279024613</v>
      </c>
      <c r="J11" s="16">
        <f t="shared" si="1"/>
        <v>275106444</v>
      </c>
      <c r="K11" s="16">
        <f t="shared" si="1"/>
        <v>282235607</v>
      </c>
      <c r="L11" s="16">
        <f t="shared" si="1"/>
        <v>302849750</v>
      </c>
      <c r="M11" s="16">
        <f t="shared" si="1"/>
        <v>328351814</v>
      </c>
      <c r="N11" s="16">
        <f t="shared" si="1"/>
        <v>353117938</v>
      </c>
    </row>
    <row r="12" spans="1:14" ht="23.25" customHeight="1" x14ac:dyDescent="0.25">
      <c r="A12" s="41" t="s">
        <v>27</v>
      </c>
      <c r="B12" s="17" t="s">
        <v>14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 ht="18.75" customHeight="1" x14ac:dyDescent="0.25">
      <c r="A13" s="42"/>
      <c r="B13" s="17" t="s">
        <v>22</v>
      </c>
      <c r="C13" s="12">
        <v>6</v>
      </c>
      <c r="D13" s="12">
        <v>6</v>
      </c>
      <c r="E13" s="12">
        <v>6</v>
      </c>
      <c r="F13" s="12">
        <v>6</v>
      </c>
      <c r="G13" s="12">
        <v>6</v>
      </c>
      <c r="H13" s="12">
        <v>6</v>
      </c>
      <c r="I13" s="12">
        <v>6</v>
      </c>
      <c r="J13" s="12">
        <v>6</v>
      </c>
      <c r="K13" s="12">
        <v>6</v>
      </c>
      <c r="L13" s="12">
        <v>6</v>
      </c>
      <c r="M13" s="12">
        <v>6</v>
      </c>
      <c r="N13" s="12">
        <v>6</v>
      </c>
    </row>
    <row r="14" spans="1:14" ht="17.25" customHeight="1" x14ac:dyDescent="0.25">
      <c r="A14" s="42"/>
      <c r="B14" s="17" t="s">
        <v>15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 ht="19.5" customHeight="1" x14ac:dyDescent="0.25">
      <c r="A15" s="42"/>
      <c r="B15" s="17" t="s">
        <v>16</v>
      </c>
      <c r="C15" s="12">
        <v>7866</v>
      </c>
      <c r="D15" s="12">
        <v>8573</v>
      </c>
      <c r="E15" s="12">
        <v>6164</v>
      </c>
      <c r="F15" s="12">
        <v>4202</v>
      </c>
      <c r="G15" s="12">
        <v>4165</v>
      </c>
      <c r="H15" s="12">
        <v>3173</v>
      </c>
      <c r="I15" s="12">
        <v>2734</v>
      </c>
      <c r="J15" s="12">
        <v>2763</v>
      </c>
      <c r="K15" s="12">
        <v>2784</v>
      </c>
      <c r="L15" s="12">
        <v>3473</v>
      </c>
      <c r="M15" s="12">
        <v>6222</v>
      </c>
      <c r="N15" s="12">
        <v>8408</v>
      </c>
    </row>
    <row r="16" spans="1:14" ht="17.25" customHeight="1" x14ac:dyDescent="0.25">
      <c r="A16" s="42"/>
      <c r="B16" s="17"/>
      <c r="C16" s="12"/>
      <c r="D16" s="12"/>
      <c r="E16" s="12"/>
      <c r="F16" s="12"/>
      <c r="G16" s="12"/>
      <c r="H16" s="19"/>
      <c r="I16" s="19"/>
      <c r="J16" s="19"/>
      <c r="K16" s="19"/>
      <c r="L16" s="19"/>
      <c r="M16" s="19"/>
      <c r="N16" s="19"/>
    </row>
    <row r="17" spans="1:14" ht="23.25" customHeight="1" x14ac:dyDescent="0.25">
      <c r="A17" s="43"/>
      <c r="B17" s="17"/>
      <c r="C17" s="12">
        <v>29093</v>
      </c>
      <c r="D17" s="12">
        <v>19876</v>
      </c>
      <c r="E17" s="12">
        <v>21274</v>
      </c>
      <c r="F17" s="12">
        <v>20871</v>
      </c>
      <c r="G17" s="12">
        <v>17846</v>
      </c>
      <c r="H17" s="12">
        <v>15262</v>
      </c>
      <c r="I17" s="12">
        <v>10195</v>
      </c>
      <c r="J17" s="12">
        <v>12727</v>
      </c>
      <c r="K17" s="12">
        <v>15478</v>
      </c>
      <c r="L17" s="12">
        <v>15985</v>
      </c>
      <c r="M17" s="12">
        <v>16814</v>
      </c>
      <c r="N17" s="12">
        <v>23133</v>
      </c>
    </row>
    <row r="18" spans="1:14" ht="18.75" customHeight="1" x14ac:dyDescent="0.25">
      <c r="A18" s="47" t="s">
        <v>17</v>
      </c>
      <c r="B18" s="48"/>
      <c r="C18" s="16">
        <f t="shared" ref="C18:J18" si="2">SUM(C12:C15,C17)</f>
        <v>36965</v>
      </c>
      <c r="D18" s="16">
        <f t="shared" si="2"/>
        <v>28455</v>
      </c>
      <c r="E18" s="16">
        <f>SUM(E12:E15,E17)</f>
        <v>27444</v>
      </c>
      <c r="F18" s="16">
        <f t="shared" si="2"/>
        <v>25079</v>
      </c>
      <c r="G18" s="16">
        <f t="shared" ref="G18" si="3">SUM(G12:G15,G17)</f>
        <v>22017</v>
      </c>
      <c r="H18" s="16">
        <f t="shared" si="2"/>
        <v>18441</v>
      </c>
      <c r="I18" s="16">
        <f t="shared" si="2"/>
        <v>12935</v>
      </c>
      <c r="J18" s="16">
        <f t="shared" si="2"/>
        <v>15496</v>
      </c>
      <c r="K18" s="16">
        <f>SUM(K12:K15,K17)</f>
        <v>18268</v>
      </c>
      <c r="L18" s="16">
        <f>SUM(L12:L15,L17)</f>
        <v>19464</v>
      </c>
      <c r="M18" s="16">
        <f>SUM(M12:M15,M17)</f>
        <v>23042</v>
      </c>
      <c r="N18" s="16">
        <f>SUM(N12:N15,N17)</f>
        <v>31547</v>
      </c>
    </row>
    <row r="19" spans="1:14" x14ac:dyDescent="0.25">
      <c r="A19" s="41" t="s">
        <v>28</v>
      </c>
      <c r="B19" s="44" t="s">
        <v>18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6"/>
    </row>
    <row r="20" spans="1:14" x14ac:dyDescent="0.25">
      <c r="A20" s="42"/>
      <c r="B20" s="13" t="s">
        <v>14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x14ac:dyDescent="0.25">
      <c r="A21" s="42"/>
      <c r="B21" s="13" t="s">
        <v>22</v>
      </c>
      <c r="C21" s="12">
        <v>4767</v>
      </c>
      <c r="D21" s="12">
        <v>4350</v>
      </c>
      <c r="E21" s="12">
        <v>4960</v>
      </c>
      <c r="F21" s="12">
        <v>5062</v>
      </c>
      <c r="G21" s="12">
        <v>4742</v>
      </c>
      <c r="H21" s="12">
        <v>5353</v>
      </c>
      <c r="I21" s="12">
        <v>5528</v>
      </c>
      <c r="J21" s="12">
        <v>4417</v>
      </c>
      <c r="K21" s="12">
        <v>4838</v>
      </c>
      <c r="L21" s="12">
        <v>4777</v>
      </c>
      <c r="M21" s="12">
        <v>4782</v>
      </c>
      <c r="N21" s="12">
        <v>4666</v>
      </c>
    </row>
    <row r="22" spans="1:14" x14ac:dyDescent="0.25">
      <c r="A22" s="42"/>
      <c r="B22" s="13" t="s">
        <v>15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ht="15" customHeight="1" x14ac:dyDescent="0.25">
      <c r="A23" s="42"/>
      <c r="B23" s="13" t="s">
        <v>16</v>
      </c>
      <c r="C23" s="12">
        <v>82061</v>
      </c>
      <c r="D23" s="12">
        <v>81830</v>
      </c>
      <c r="E23" s="12">
        <v>69648</v>
      </c>
      <c r="F23" s="12">
        <v>54004</v>
      </c>
      <c r="G23" s="12">
        <v>32307</v>
      </c>
      <c r="H23" s="12">
        <v>13121</v>
      </c>
      <c r="I23" s="12">
        <v>8926</v>
      </c>
      <c r="J23" s="12">
        <v>9073</v>
      </c>
      <c r="K23" s="12">
        <v>20231</v>
      </c>
      <c r="L23" s="12">
        <v>38518</v>
      </c>
      <c r="M23" s="12">
        <v>68407</v>
      </c>
      <c r="N23" s="12">
        <v>82932</v>
      </c>
    </row>
    <row r="24" spans="1:14" x14ac:dyDescent="0.25">
      <c r="A24" s="42"/>
      <c r="B24" s="44" t="s">
        <v>24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6"/>
    </row>
    <row r="25" spans="1:14" x14ac:dyDescent="0.25">
      <c r="A25" s="42"/>
      <c r="B25" s="14"/>
      <c r="C25" s="12">
        <v>176815</v>
      </c>
      <c r="D25" s="12">
        <v>146584</v>
      </c>
      <c r="E25" s="12">
        <v>109505</v>
      </c>
      <c r="F25" s="12">
        <v>92001</v>
      </c>
      <c r="G25" s="12">
        <v>76182</v>
      </c>
      <c r="H25" s="12">
        <v>56230</v>
      </c>
      <c r="I25" s="12">
        <v>59288</v>
      </c>
      <c r="J25" s="12">
        <v>57867</v>
      </c>
      <c r="K25" s="12">
        <v>65879</v>
      </c>
      <c r="L25" s="12">
        <v>83920</v>
      </c>
      <c r="M25" s="12">
        <v>122182</v>
      </c>
      <c r="N25" s="12">
        <v>153438</v>
      </c>
    </row>
    <row r="26" spans="1:14" x14ac:dyDescent="0.25">
      <c r="A26" s="43"/>
      <c r="B26" s="15" t="s">
        <v>17</v>
      </c>
      <c r="C26" s="16">
        <f t="shared" ref="C26:F26" si="4">SUM(C20:C23,C25)</f>
        <v>263643</v>
      </c>
      <c r="D26" s="16">
        <f t="shared" si="4"/>
        <v>232764</v>
      </c>
      <c r="E26" s="16">
        <f>SUM(E20:E23,E25)</f>
        <v>184113</v>
      </c>
      <c r="F26" s="16">
        <f t="shared" si="4"/>
        <v>151067</v>
      </c>
      <c r="G26" s="16">
        <f>SUM(G20:G23,G25)</f>
        <v>113231</v>
      </c>
      <c r="H26" s="16">
        <f t="shared" ref="H26:N26" si="5">SUM(H20:H23,H25)</f>
        <v>74704</v>
      </c>
      <c r="I26" s="16">
        <f t="shared" si="5"/>
        <v>73742</v>
      </c>
      <c r="J26" s="16">
        <f t="shared" si="5"/>
        <v>71357</v>
      </c>
      <c r="K26" s="16">
        <f t="shared" si="5"/>
        <v>90948</v>
      </c>
      <c r="L26" s="16">
        <f>SUM(L20:L23,L25)</f>
        <v>127215</v>
      </c>
      <c r="M26" s="16">
        <f t="shared" si="5"/>
        <v>195371</v>
      </c>
      <c r="N26" s="16">
        <f t="shared" si="5"/>
        <v>241036</v>
      </c>
    </row>
    <row r="27" spans="1:14" x14ac:dyDescent="0.25">
      <c r="A27" s="41" t="s">
        <v>30</v>
      </c>
      <c r="B27" s="44" t="s">
        <v>18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6"/>
    </row>
    <row r="28" spans="1:14" x14ac:dyDescent="0.25">
      <c r="A28" s="42"/>
      <c r="B28" s="13" t="s">
        <v>14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spans="1:14" x14ac:dyDescent="0.25">
      <c r="A29" s="42"/>
      <c r="B29" s="13" t="s">
        <v>22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14" x14ac:dyDescent="0.25">
      <c r="A30" s="42"/>
      <c r="B30" s="13" t="s">
        <v>15</v>
      </c>
      <c r="C30" s="12"/>
      <c r="D30" s="12"/>
      <c r="E30" s="12">
        <v>4205</v>
      </c>
      <c r="F30" s="12">
        <v>3898</v>
      </c>
      <c r="G30" s="12">
        <v>2987</v>
      </c>
      <c r="H30" s="12">
        <v>2895</v>
      </c>
      <c r="I30" s="12">
        <v>2534</v>
      </c>
      <c r="J30" s="12">
        <v>2721</v>
      </c>
      <c r="K30" s="12">
        <v>2326</v>
      </c>
      <c r="L30" s="12">
        <v>2801</v>
      </c>
      <c r="M30" s="12">
        <v>3298</v>
      </c>
      <c r="N30" s="12">
        <v>3005</v>
      </c>
    </row>
    <row r="31" spans="1:14" ht="15" customHeight="1" x14ac:dyDescent="0.25">
      <c r="A31" s="42"/>
      <c r="B31" s="13" t="s">
        <v>16</v>
      </c>
      <c r="C31" s="12"/>
      <c r="D31" s="12"/>
      <c r="E31" s="12">
        <v>76978</v>
      </c>
      <c r="F31" s="12">
        <v>64363</v>
      </c>
      <c r="G31" s="12">
        <v>59693</v>
      </c>
      <c r="H31" s="12">
        <v>40726</v>
      </c>
      <c r="I31" s="12">
        <v>37868</v>
      </c>
      <c r="J31" s="12">
        <v>37107</v>
      </c>
      <c r="K31" s="12">
        <v>54782</v>
      </c>
      <c r="L31" s="12">
        <v>58877</v>
      </c>
      <c r="M31" s="12">
        <v>70142</v>
      </c>
      <c r="N31" s="12">
        <v>70295</v>
      </c>
    </row>
    <row r="32" spans="1:14" x14ac:dyDescent="0.25">
      <c r="A32" s="42"/>
      <c r="B32" s="44" t="s">
        <v>24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6"/>
    </row>
    <row r="33" spans="1:14" x14ac:dyDescent="0.25">
      <c r="A33" s="42"/>
      <c r="B33" s="14"/>
      <c r="C33" s="12"/>
      <c r="D33" s="12"/>
      <c r="E33" s="12">
        <v>552</v>
      </c>
      <c r="F33" s="12">
        <v>552</v>
      </c>
      <c r="G33" s="12">
        <v>552</v>
      </c>
      <c r="H33" s="12">
        <v>552</v>
      </c>
      <c r="I33" s="12">
        <v>552</v>
      </c>
      <c r="J33" s="12">
        <v>552</v>
      </c>
      <c r="K33" s="12">
        <v>552</v>
      </c>
      <c r="L33" s="12">
        <v>552</v>
      </c>
      <c r="M33" s="12">
        <v>552</v>
      </c>
      <c r="N33" s="12">
        <v>552</v>
      </c>
    </row>
    <row r="34" spans="1:14" x14ac:dyDescent="0.25">
      <c r="A34" s="43"/>
      <c r="B34" s="15" t="s">
        <v>17</v>
      </c>
      <c r="C34" s="16">
        <f t="shared" ref="C34:F34" si="6">SUM(C28:C31,C33)</f>
        <v>0</v>
      </c>
      <c r="D34" s="16">
        <f t="shared" si="6"/>
        <v>0</v>
      </c>
      <c r="E34" s="16">
        <f>SUM(E28:E31,E33)</f>
        <v>81735</v>
      </c>
      <c r="F34" s="16">
        <f t="shared" si="6"/>
        <v>68813</v>
      </c>
      <c r="G34" s="16">
        <f>SUM(G28:G31,G33)</f>
        <v>63232</v>
      </c>
      <c r="H34" s="16">
        <f t="shared" ref="H34:K34" si="7">SUM(H28:H31,H33)</f>
        <v>44173</v>
      </c>
      <c r="I34" s="16">
        <f t="shared" si="7"/>
        <v>40954</v>
      </c>
      <c r="J34" s="16">
        <f t="shared" si="7"/>
        <v>40380</v>
      </c>
      <c r="K34" s="16">
        <f t="shared" si="7"/>
        <v>57660</v>
      </c>
      <c r="L34" s="16">
        <f>SUM(L28:L31,L33)</f>
        <v>62230</v>
      </c>
      <c r="M34" s="16">
        <f t="shared" ref="M34:N34" si="8">SUM(M28:M31,M33)</f>
        <v>73992</v>
      </c>
      <c r="N34" s="16">
        <f t="shared" si="8"/>
        <v>73852</v>
      </c>
    </row>
  </sheetData>
  <mergeCells count="12">
    <mergeCell ref="A18:B18"/>
    <mergeCell ref="A2:N2"/>
    <mergeCell ref="A4:A11"/>
    <mergeCell ref="B4:N4"/>
    <mergeCell ref="B9:N9"/>
    <mergeCell ref="A12:A17"/>
    <mergeCell ref="A27:A34"/>
    <mergeCell ref="B27:N27"/>
    <mergeCell ref="B32:N32"/>
    <mergeCell ref="A19:A26"/>
    <mergeCell ref="B19:N19"/>
    <mergeCell ref="B24:N2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zoomScale="70" zoomScaleNormal="70" workbookViewId="0">
      <selection activeCell="D36" sqref="D36"/>
    </sheetView>
  </sheetViews>
  <sheetFormatPr defaultRowHeight="15" x14ac:dyDescent="0.25"/>
  <cols>
    <col min="1" max="1" width="17.42578125" customWidth="1"/>
    <col min="2" max="2" width="15.5703125" customWidth="1"/>
    <col min="3" max="3" width="17.42578125" customWidth="1"/>
    <col min="4" max="4" width="21" customWidth="1"/>
    <col min="5" max="5" width="18.42578125" customWidth="1"/>
    <col min="6" max="6" width="18" customWidth="1"/>
    <col min="7" max="7" width="17.5703125" customWidth="1"/>
    <col min="8" max="8" width="17.28515625" customWidth="1"/>
    <col min="9" max="9" width="17.7109375" customWidth="1"/>
    <col min="10" max="10" width="15.85546875" customWidth="1"/>
    <col min="11" max="11" width="17.140625" customWidth="1"/>
    <col min="12" max="12" width="18.28515625" customWidth="1"/>
    <col min="13" max="14" width="17.7109375" customWidth="1"/>
    <col min="15" max="15" width="9.140625" style="21"/>
    <col min="17" max="17" width="12" style="21" bestFit="1" customWidth="1"/>
  </cols>
  <sheetData>
    <row r="1" spans="1:17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7" x14ac:dyDescent="0.25">
      <c r="A2" s="40" t="s">
        <v>31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7" ht="28.5" x14ac:dyDescent="0.25">
      <c r="A3" s="3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</row>
    <row r="4" spans="1:17" x14ac:dyDescent="0.25">
      <c r="A4" s="41" t="s">
        <v>23</v>
      </c>
      <c r="B4" s="44" t="s">
        <v>18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7" x14ac:dyDescent="0.25">
      <c r="A5" s="42"/>
      <c r="B5" s="13" t="s">
        <v>14</v>
      </c>
      <c r="C5" s="12">
        <v>326229407</v>
      </c>
      <c r="D5" s="12">
        <v>287934048</v>
      </c>
      <c r="E5" s="12">
        <v>312786246</v>
      </c>
      <c r="F5" s="12">
        <v>289893733</v>
      </c>
      <c r="G5" s="12">
        <v>280648127</v>
      </c>
      <c r="H5" s="12">
        <v>264789249</v>
      </c>
      <c r="I5" s="12">
        <v>276124429</v>
      </c>
      <c r="J5" s="12">
        <v>270807931</v>
      </c>
      <c r="K5" s="12">
        <v>265832841</v>
      </c>
      <c r="L5" s="12">
        <v>293820755</v>
      </c>
      <c r="M5" s="12">
        <v>308474245</v>
      </c>
      <c r="N5" s="12">
        <v>314786317</v>
      </c>
      <c r="O5" s="21">
        <f>N5/M5</f>
        <v>1.0204622334029865</v>
      </c>
      <c r="Q5" s="20">
        <f>AVERAGE(C5:N5)</f>
        <v>291010610.66666669</v>
      </c>
    </row>
    <row r="6" spans="1:17" x14ac:dyDescent="0.25">
      <c r="A6" s="42"/>
      <c r="B6" s="13" t="s">
        <v>22</v>
      </c>
      <c r="C6" s="12">
        <v>3858531</v>
      </c>
      <c r="D6" s="12">
        <v>3449195</v>
      </c>
      <c r="E6" s="12">
        <v>3137691</v>
      </c>
      <c r="F6" s="12">
        <v>2683230</v>
      </c>
      <c r="G6" s="12">
        <v>2030912</v>
      </c>
      <c r="H6" s="12">
        <v>1175582</v>
      </c>
      <c r="I6" s="12">
        <v>985059</v>
      </c>
      <c r="J6" s="12">
        <v>1109859</v>
      </c>
      <c r="K6" s="12">
        <v>1653045</v>
      </c>
      <c r="L6" s="12">
        <v>2867034</v>
      </c>
      <c r="M6" s="12">
        <v>3374245</v>
      </c>
      <c r="N6" s="12">
        <v>3847008</v>
      </c>
      <c r="O6" s="21">
        <f t="shared" ref="O6:O8" si="0">N6/M6</f>
        <v>1.1401092688882994</v>
      </c>
      <c r="Q6" s="20">
        <f t="shared" ref="Q6:Q31" si="1">AVERAGE(C6:N6)</f>
        <v>2514282.5833333335</v>
      </c>
    </row>
    <row r="7" spans="1:17" x14ac:dyDescent="0.25">
      <c r="A7" s="42"/>
      <c r="B7" s="13" t="s">
        <v>15</v>
      </c>
      <c r="C7" s="12">
        <v>10964539</v>
      </c>
      <c r="D7" s="12">
        <v>10390373</v>
      </c>
      <c r="E7" s="12">
        <v>7927591</v>
      </c>
      <c r="F7" s="12">
        <v>7284108</v>
      </c>
      <c r="G7" s="12">
        <v>5687388</v>
      </c>
      <c r="H7" s="12">
        <v>4532257</v>
      </c>
      <c r="I7" s="12">
        <v>4399435</v>
      </c>
      <c r="J7" s="12">
        <v>4718587</v>
      </c>
      <c r="K7" s="12">
        <v>5183105</v>
      </c>
      <c r="L7" s="12">
        <v>6985338</v>
      </c>
      <c r="M7" s="12">
        <v>8998645</v>
      </c>
      <c r="N7" s="12">
        <v>10157627</v>
      </c>
      <c r="O7" s="21">
        <f t="shared" si="0"/>
        <v>1.1287951686059401</v>
      </c>
      <c r="Q7" s="20">
        <f t="shared" si="1"/>
        <v>7269082.75</v>
      </c>
    </row>
    <row r="8" spans="1:17" x14ac:dyDescent="0.25">
      <c r="A8" s="42"/>
      <c r="B8" s="13" t="s">
        <v>16</v>
      </c>
      <c r="C8" s="12">
        <v>1488168</v>
      </c>
      <c r="D8" s="12">
        <v>1457515</v>
      </c>
      <c r="E8" s="12">
        <v>1079736</v>
      </c>
      <c r="F8" s="12">
        <v>985635</v>
      </c>
      <c r="G8" s="12">
        <v>781598</v>
      </c>
      <c r="H8" s="12">
        <v>671454</v>
      </c>
      <c r="I8" s="12">
        <v>599459</v>
      </c>
      <c r="J8" s="12">
        <v>627061</v>
      </c>
      <c r="K8" s="12">
        <v>788394</v>
      </c>
      <c r="L8" s="12">
        <v>848868</v>
      </c>
      <c r="M8" s="12">
        <v>1062901</v>
      </c>
      <c r="N8" s="12">
        <v>1200232</v>
      </c>
      <c r="O8" s="21">
        <f t="shared" si="0"/>
        <v>1.1292039427942959</v>
      </c>
      <c r="Q8" s="20">
        <f t="shared" si="1"/>
        <v>965918.41666666663</v>
      </c>
    </row>
    <row r="9" spans="1:17" x14ac:dyDescent="0.25">
      <c r="A9" s="42"/>
      <c r="B9" s="44" t="s">
        <v>24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6"/>
      <c r="Q9" s="20"/>
    </row>
    <row r="10" spans="1:17" x14ac:dyDescent="0.25">
      <c r="A10" s="42"/>
      <c r="B10" s="14"/>
      <c r="C10" s="12">
        <v>7909080</v>
      </c>
      <c r="D10" s="12">
        <v>7936145</v>
      </c>
      <c r="E10" s="12">
        <v>5471074</v>
      </c>
      <c r="F10" s="12">
        <v>5260323</v>
      </c>
      <c r="G10" s="12">
        <v>4818906</v>
      </c>
      <c r="H10" s="12">
        <v>4818906</v>
      </c>
      <c r="I10" s="12">
        <v>3548033</v>
      </c>
      <c r="J10" s="12">
        <v>3811860</v>
      </c>
      <c r="K10" s="12">
        <v>4364497</v>
      </c>
      <c r="L10" s="12">
        <v>4500900</v>
      </c>
      <c r="M10" s="12">
        <v>6061530</v>
      </c>
      <c r="N10" s="12">
        <v>6974784</v>
      </c>
      <c r="O10" s="21">
        <f>N10/M10</f>
        <v>1.1506639412821515</v>
      </c>
      <c r="Q10" s="20">
        <f t="shared" si="1"/>
        <v>5456336.5</v>
      </c>
    </row>
    <row r="11" spans="1:17" x14ac:dyDescent="0.25">
      <c r="A11" s="43"/>
      <c r="B11" s="15" t="s">
        <v>17</v>
      </c>
      <c r="C11" s="16">
        <f t="shared" ref="C11:D11" si="2">SUM(C5:C8,C10)</f>
        <v>350449725</v>
      </c>
      <c r="D11" s="16">
        <f t="shared" si="2"/>
        <v>311167276</v>
      </c>
      <c r="E11" s="16">
        <f>SUM(E5:E8,E10)</f>
        <v>330402338</v>
      </c>
      <c r="F11" s="16">
        <f>SUM(F5:F8,F10)</f>
        <v>306107029</v>
      </c>
      <c r="G11" s="16">
        <f>SUM(G5:G8,G10)</f>
        <v>293966931</v>
      </c>
      <c r="H11" s="16">
        <f>SUM(H5:H8,H10)</f>
        <v>275987448</v>
      </c>
      <c r="I11" s="16">
        <f t="shared" ref="I11:N11" si="3">SUM(I5:I8,I10)</f>
        <v>285656415</v>
      </c>
      <c r="J11" s="16">
        <f t="shared" si="3"/>
        <v>281075298</v>
      </c>
      <c r="K11" s="16">
        <f t="shared" si="3"/>
        <v>277821882</v>
      </c>
      <c r="L11" s="16">
        <f t="shared" si="3"/>
        <v>309022895</v>
      </c>
      <c r="M11" s="16">
        <f t="shared" si="3"/>
        <v>327971566</v>
      </c>
      <c r="N11" s="16">
        <f t="shared" si="3"/>
        <v>336965968</v>
      </c>
      <c r="Q11" s="20"/>
    </row>
    <row r="12" spans="1:17" ht="23.25" customHeight="1" x14ac:dyDescent="0.25">
      <c r="A12" s="41" t="s">
        <v>27</v>
      </c>
      <c r="B12" s="17" t="s">
        <v>14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Q12" s="20"/>
    </row>
    <row r="13" spans="1:17" ht="18.75" customHeight="1" x14ac:dyDescent="0.25">
      <c r="A13" s="42"/>
      <c r="B13" s="17" t="s">
        <v>22</v>
      </c>
      <c r="C13" s="12">
        <v>6</v>
      </c>
      <c r="D13" s="12">
        <v>6</v>
      </c>
      <c r="E13" s="12">
        <v>6</v>
      </c>
      <c r="F13" s="12">
        <v>6</v>
      </c>
      <c r="G13" s="12">
        <v>6</v>
      </c>
      <c r="H13" s="12">
        <v>6</v>
      </c>
      <c r="I13" s="12">
        <v>6</v>
      </c>
      <c r="J13" s="12">
        <v>5162</v>
      </c>
      <c r="K13" s="12">
        <v>2162</v>
      </c>
      <c r="L13" s="12">
        <v>2943</v>
      </c>
      <c r="M13" s="12">
        <v>1455</v>
      </c>
      <c r="N13" s="12">
        <v>1553</v>
      </c>
      <c r="O13" s="21">
        <f>N13/M13</f>
        <v>1.0673539518900343</v>
      </c>
      <c r="Q13" s="20">
        <f t="shared" si="1"/>
        <v>1109.75</v>
      </c>
    </row>
    <row r="14" spans="1:17" ht="17.25" customHeight="1" x14ac:dyDescent="0.25">
      <c r="A14" s="42"/>
      <c r="B14" s="17" t="s">
        <v>15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Q14" s="20"/>
    </row>
    <row r="15" spans="1:17" ht="19.5" customHeight="1" x14ac:dyDescent="0.25">
      <c r="A15" s="42"/>
      <c r="B15" s="17" t="s">
        <v>16</v>
      </c>
      <c r="C15" s="12">
        <v>8408</v>
      </c>
      <c r="D15" s="12">
        <v>7628</v>
      </c>
      <c r="E15" s="12">
        <v>5414</v>
      </c>
      <c r="F15" s="12">
        <v>4295</v>
      </c>
      <c r="G15" s="12">
        <v>2408</v>
      </c>
      <c r="H15" s="12">
        <v>2408</v>
      </c>
      <c r="I15" s="12">
        <v>2676</v>
      </c>
      <c r="J15" s="12">
        <v>2569</v>
      </c>
      <c r="K15" s="12">
        <v>3625</v>
      </c>
      <c r="L15" s="12">
        <v>2380</v>
      </c>
      <c r="M15" s="12">
        <v>5380</v>
      </c>
      <c r="N15" s="12">
        <v>4322</v>
      </c>
      <c r="O15" s="21">
        <f>N15/M15</f>
        <v>0.80334572490706324</v>
      </c>
      <c r="Q15" s="20">
        <f t="shared" si="1"/>
        <v>4292.75</v>
      </c>
    </row>
    <row r="16" spans="1:17" ht="17.25" customHeight="1" x14ac:dyDescent="0.25">
      <c r="A16" s="42"/>
      <c r="B16" s="17"/>
      <c r="C16" s="12"/>
      <c r="D16" s="12"/>
      <c r="E16" s="12"/>
      <c r="F16" s="12"/>
      <c r="G16" s="12"/>
      <c r="H16" s="19"/>
      <c r="I16" s="19"/>
      <c r="J16" s="19"/>
      <c r="K16" s="19"/>
      <c r="L16" s="19"/>
      <c r="M16" s="19"/>
      <c r="N16" s="19"/>
      <c r="Q16" s="20"/>
    </row>
    <row r="17" spans="1:17" ht="23.25" customHeight="1" x14ac:dyDescent="0.25">
      <c r="A17" s="43"/>
      <c r="B17" s="17"/>
      <c r="C17" s="12">
        <v>23133</v>
      </c>
      <c r="D17" s="12">
        <v>23911</v>
      </c>
      <c r="E17" s="12">
        <v>19534</v>
      </c>
      <c r="F17" s="12">
        <v>18783</v>
      </c>
      <c r="G17" s="12">
        <v>13521</v>
      </c>
      <c r="H17" s="12">
        <v>13521</v>
      </c>
      <c r="I17" s="12">
        <v>12438</v>
      </c>
      <c r="J17" s="12">
        <v>11609</v>
      </c>
      <c r="K17" s="12">
        <v>14046</v>
      </c>
      <c r="L17" s="12">
        <v>13877</v>
      </c>
      <c r="M17" s="12">
        <v>16843</v>
      </c>
      <c r="N17" s="12">
        <v>21157</v>
      </c>
      <c r="O17" s="21">
        <f>N17/M17</f>
        <v>1.2561301430861485</v>
      </c>
      <c r="Q17" s="20">
        <f t="shared" si="1"/>
        <v>16864.416666666668</v>
      </c>
    </row>
    <row r="18" spans="1:17" ht="18.75" customHeight="1" x14ac:dyDescent="0.25">
      <c r="A18" s="47" t="s">
        <v>17</v>
      </c>
      <c r="B18" s="48"/>
      <c r="C18" s="16">
        <f t="shared" ref="C18:J18" si="4">SUM(C12:C15,C17)</f>
        <v>31547</v>
      </c>
      <c r="D18" s="16">
        <f t="shared" si="4"/>
        <v>31545</v>
      </c>
      <c r="E18" s="16">
        <f>SUM(E12:E15,E17)</f>
        <v>24954</v>
      </c>
      <c r="F18" s="16">
        <f t="shared" si="4"/>
        <v>23084</v>
      </c>
      <c r="G18" s="16">
        <f t="shared" si="4"/>
        <v>15935</v>
      </c>
      <c r="H18" s="16">
        <f t="shared" si="4"/>
        <v>15935</v>
      </c>
      <c r="I18" s="16">
        <f t="shared" si="4"/>
        <v>15120</v>
      </c>
      <c r="J18" s="16">
        <f t="shared" si="4"/>
        <v>19340</v>
      </c>
      <c r="K18" s="16">
        <f>SUM(K12:K15,K17)</f>
        <v>19833</v>
      </c>
      <c r="L18" s="16">
        <f>SUM(L12:L15,L17)</f>
        <v>19200</v>
      </c>
      <c r="M18" s="16">
        <f>SUM(M12:M15,M17)</f>
        <v>23678</v>
      </c>
      <c r="N18" s="16">
        <f>SUM(N12:N15,N17)</f>
        <v>27032</v>
      </c>
      <c r="Q18" s="20"/>
    </row>
    <row r="19" spans="1:17" x14ac:dyDescent="0.25">
      <c r="A19" s="41" t="s">
        <v>28</v>
      </c>
      <c r="B19" s="44" t="s">
        <v>18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6"/>
      <c r="Q19" s="20"/>
    </row>
    <row r="20" spans="1:17" x14ac:dyDescent="0.25">
      <c r="A20" s="42"/>
      <c r="B20" s="13" t="s">
        <v>14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Q20" s="20"/>
    </row>
    <row r="21" spans="1:17" x14ac:dyDescent="0.25">
      <c r="A21" s="42"/>
      <c r="B21" s="13" t="s">
        <v>22</v>
      </c>
      <c r="C21" s="12">
        <v>4811</v>
      </c>
      <c r="D21" s="12">
        <v>4933</v>
      </c>
      <c r="E21" s="12">
        <v>4637</v>
      </c>
      <c r="F21" s="12">
        <v>5341</v>
      </c>
      <c r="G21" s="12">
        <v>5365</v>
      </c>
      <c r="H21" s="12">
        <v>5273</v>
      </c>
      <c r="I21" s="12">
        <v>5016</v>
      </c>
      <c r="J21" s="12">
        <v>5213</v>
      </c>
      <c r="K21" s="12">
        <v>5480</v>
      </c>
      <c r="L21" s="12">
        <v>5004</v>
      </c>
      <c r="M21" s="12">
        <v>5300</v>
      </c>
      <c r="N21" s="12">
        <v>4931</v>
      </c>
      <c r="O21" s="21">
        <f>N21/M21</f>
        <v>0.93037735849056602</v>
      </c>
      <c r="Q21" s="20">
        <f t="shared" si="1"/>
        <v>5108.666666666667</v>
      </c>
    </row>
    <row r="22" spans="1:17" x14ac:dyDescent="0.25">
      <c r="A22" s="42"/>
      <c r="B22" s="13" t="s">
        <v>15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Q22" s="20"/>
    </row>
    <row r="23" spans="1:17" ht="15" customHeight="1" x14ac:dyDescent="0.25">
      <c r="A23" s="42"/>
      <c r="B23" s="13" t="s">
        <v>16</v>
      </c>
      <c r="C23" s="12">
        <v>87082</v>
      </c>
      <c r="D23" s="12">
        <v>82733</v>
      </c>
      <c r="E23" s="12">
        <v>53749</v>
      </c>
      <c r="F23" s="12">
        <v>46985</v>
      </c>
      <c r="G23" s="12">
        <v>33553</v>
      </c>
      <c r="H23" s="12">
        <v>9073</v>
      </c>
      <c r="I23" s="12">
        <v>7163</v>
      </c>
      <c r="J23" s="12">
        <v>7599</v>
      </c>
      <c r="K23" s="12">
        <v>19155</v>
      </c>
      <c r="L23" s="12">
        <v>41815</v>
      </c>
      <c r="M23" s="12">
        <v>64459</v>
      </c>
      <c r="N23" s="12">
        <v>73682</v>
      </c>
      <c r="O23" s="21">
        <f>N23/M23</f>
        <v>1.1430832001737539</v>
      </c>
      <c r="Q23" s="20">
        <f t="shared" si="1"/>
        <v>43920.666666666664</v>
      </c>
    </row>
    <row r="24" spans="1:17" x14ac:dyDescent="0.25">
      <c r="A24" s="42"/>
      <c r="B24" s="44" t="s">
        <v>24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6"/>
      <c r="Q24" s="20"/>
    </row>
    <row r="25" spans="1:17" x14ac:dyDescent="0.25">
      <c r="A25" s="42"/>
      <c r="B25" s="14"/>
      <c r="C25" s="12">
        <v>170694</v>
      </c>
      <c r="D25" s="12">
        <v>164371</v>
      </c>
      <c r="E25" s="12">
        <v>105103</v>
      </c>
      <c r="F25" s="12">
        <v>99694</v>
      </c>
      <c r="G25" s="12">
        <v>83099</v>
      </c>
      <c r="H25" s="12">
        <v>56028</v>
      </c>
      <c r="I25" s="12">
        <v>48343</v>
      </c>
      <c r="J25" s="12">
        <v>57047</v>
      </c>
      <c r="K25" s="12">
        <v>67243</v>
      </c>
      <c r="L25" s="12">
        <v>87973</v>
      </c>
      <c r="M25" s="12">
        <v>131692</v>
      </c>
      <c r="N25" s="12">
        <v>148264</v>
      </c>
      <c r="O25" s="21">
        <f>N25/M25</f>
        <v>1.1258390790632689</v>
      </c>
      <c r="Q25" s="20">
        <f t="shared" si="1"/>
        <v>101629.25</v>
      </c>
    </row>
    <row r="26" spans="1:17" x14ac:dyDescent="0.25">
      <c r="A26" s="43"/>
      <c r="B26" s="15" t="s">
        <v>17</v>
      </c>
      <c r="C26" s="16">
        <f t="shared" ref="C26:F26" si="5">SUM(C20:C23,C25)</f>
        <v>262587</v>
      </c>
      <c r="D26" s="16">
        <f t="shared" si="5"/>
        <v>252037</v>
      </c>
      <c r="E26" s="16">
        <f>SUM(E20:E23,E25)</f>
        <v>163489</v>
      </c>
      <c r="F26" s="16">
        <f t="shared" si="5"/>
        <v>152020</v>
      </c>
      <c r="G26" s="16">
        <f>SUM(G20:G23,G25)</f>
        <v>122017</v>
      </c>
      <c r="H26" s="16">
        <f t="shared" ref="H26:N26" si="6">SUM(H20:H23,H25)</f>
        <v>70374</v>
      </c>
      <c r="I26" s="16">
        <f t="shared" si="6"/>
        <v>60522</v>
      </c>
      <c r="J26" s="16">
        <f t="shared" si="6"/>
        <v>69859</v>
      </c>
      <c r="K26" s="16">
        <f t="shared" si="6"/>
        <v>91878</v>
      </c>
      <c r="L26" s="16">
        <f>SUM(L20:L23,L25)</f>
        <v>134792</v>
      </c>
      <c r="M26" s="16">
        <f t="shared" si="6"/>
        <v>201451</v>
      </c>
      <c r="N26" s="16">
        <f t="shared" si="6"/>
        <v>226877</v>
      </c>
      <c r="Q26" s="20"/>
    </row>
    <row r="27" spans="1:17" x14ac:dyDescent="0.25">
      <c r="A27" s="41" t="s">
        <v>30</v>
      </c>
      <c r="B27" s="44" t="s">
        <v>18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6"/>
      <c r="Q27" s="20"/>
    </row>
    <row r="28" spans="1:17" x14ac:dyDescent="0.25">
      <c r="A28" s="42"/>
      <c r="B28" s="13" t="s">
        <v>14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Q28" s="20"/>
    </row>
    <row r="29" spans="1:17" x14ac:dyDescent="0.25">
      <c r="A29" s="42"/>
      <c r="B29" s="13" t="s">
        <v>22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Q29" s="20"/>
    </row>
    <row r="30" spans="1:17" x14ac:dyDescent="0.25">
      <c r="A30" s="42"/>
      <c r="B30" s="13" t="s">
        <v>15</v>
      </c>
      <c r="C30" s="12">
        <v>3299</v>
      </c>
      <c r="D30" s="12">
        <v>3343</v>
      </c>
      <c r="E30" s="12">
        <v>2444</v>
      </c>
      <c r="F30" s="12">
        <v>3055</v>
      </c>
      <c r="G30" s="12">
        <v>3266</v>
      </c>
      <c r="H30" s="12">
        <v>3057</v>
      </c>
      <c r="I30" s="12">
        <v>2364</v>
      </c>
      <c r="J30" s="12">
        <v>2255</v>
      </c>
      <c r="K30" s="12">
        <v>2156</v>
      </c>
      <c r="L30" s="12">
        <v>2443</v>
      </c>
      <c r="M30" s="12">
        <v>2989</v>
      </c>
      <c r="N30" s="12">
        <v>2689</v>
      </c>
      <c r="O30" s="21">
        <f t="shared" ref="O30:O31" si="7">N30/M30</f>
        <v>0.89963198394111743</v>
      </c>
      <c r="Q30" s="20">
        <f t="shared" si="1"/>
        <v>2780</v>
      </c>
    </row>
    <row r="31" spans="1:17" ht="15" customHeight="1" x14ac:dyDescent="0.25">
      <c r="A31" s="42"/>
      <c r="B31" s="13" t="s">
        <v>16</v>
      </c>
      <c r="C31" s="12">
        <v>81737</v>
      </c>
      <c r="D31" s="12">
        <v>77348</v>
      </c>
      <c r="E31" s="12">
        <v>76603</v>
      </c>
      <c r="F31" s="12">
        <v>61068</v>
      </c>
      <c r="G31" s="12">
        <v>56968</v>
      </c>
      <c r="H31" s="12">
        <v>38346</v>
      </c>
      <c r="I31" s="12">
        <v>35458</v>
      </c>
      <c r="J31" s="12">
        <v>43002</v>
      </c>
      <c r="K31" s="12">
        <v>37325</v>
      </c>
      <c r="L31" s="12">
        <v>56439</v>
      </c>
      <c r="M31" s="12">
        <v>75794</v>
      </c>
      <c r="N31" s="12">
        <v>75154</v>
      </c>
      <c r="O31" s="21">
        <f t="shared" si="7"/>
        <v>0.99155605984642581</v>
      </c>
      <c r="Q31" s="20">
        <f t="shared" si="1"/>
        <v>59603.5</v>
      </c>
    </row>
    <row r="32" spans="1:17" x14ac:dyDescent="0.25">
      <c r="A32" s="42"/>
      <c r="B32" s="44" t="s">
        <v>24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6"/>
      <c r="Q32" s="20"/>
    </row>
    <row r="33" spans="1:17" x14ac:dyDescent="0.25">
      <c r="A33" s="42"/>
      <c r="B33" s="14"/>
      <c r="C33" s="12">
        <v>552</v>
      </c>
      <c r="D33" s="12">
        <v>552</v>
      </c>
      <c r="E33" s="12">
        <v>552</v>
      </c>
      <c r="F33" s="12">
        <v>552</v>
      </c>
      <c r="G33" s="12">
        <v>552</v>
      </c>
      <c r="H33" s="12">
        <v>552</v>
      </c>
      <c r="I33" s="12">
        <v>552</v>
      </c>
      <c r="J33" s="12">
        <v>552</v>
      </c>
      <c r="K33" s="12">
        <v>552</v>
      </c>
      <c r="L33" s="12">
        <v>552</v>
      </c>
      <c r="M33" s="12">
        <v>552</v>
      </c>
      <c r="N33" s="12">
        <v>552</v>
      </c>
      <c r="O33" s="21">
        <f>N33/M33</f>
        <v>1</v>
      </c>
      <c r="Q33" s="20">
        <f>AVERAGE(C33:N33)</f>
        <v>552</v>
      </c>
    </row>
    <row r="34" spans="1:17" x14ac:dyDescent="0.25">
      <c r="A34" s="43"/>
      <c r="B34" s="15" t="s">
        <v>17</v>
      </c>
      <c r="C34" s="16">
        <f t="shared" ref="C34:F34" si="8">SUM(C28:C31,C33)</f>
        <v>85588</v>
      </c>
      <c r="D34" s="16">
        <f t="shared" si="8"/>
        <v>81243</v>
      </c>
      <c r="E34" s="16">
        <f>SUM(E28:E31,E33)</f>
        <v>79599</v>
      </c>
      <c r="F34" s="16">
        <f t="shared" si="8"/>
        <v>64675</v>
      </c>
      <c r="G34" s="16">
        <f>SUM(G28:G31,G33)</f>
        <v>60786</v>
      </c>
      <c r="H34" s="16">
        <f t="shared" ref="H34:K34" si="9">SUM(H28:H31,H33)</f>
        <v>41955</v>
      </c>
      <c r="I34" s="16">
        <f t="shared" si="9"/>
        <v>38374</v>
      </c>
      <c r="J34" s="16">
        <f t="shared" si="9"/>
        <v>45809</v>
      </c>
      <c r="K34" s="16">
        <f t="shared" si="9"/>
        <v>40033</v>
      </c>
      <c r="L34" s="16">
        <f>SUM(L28:L31,L33)</f>
        <v>59434</v>
      </c>
      <c r="M34" s="16">
        <f t="shared" ref="M34:N34" si="10">SUM(M28:M31,M33)</f>
        <v>79335</v>
      </c>
      <c r="N34" s="16">
        <f t="shared" si="10"/>
        <v>78395</v>
      </c>
    </row>
  </sheetData>
  <mergeCells count="12">
    <mergeCell ref="A18:B18"/>
    <mergeCell ref="A2:N2"/>
    <mergeCell ref="A4:A11"/>
    <mergeCell ref="B4:N4"/>
    <mergeCell ref="B9:N9"/>
    <mergeCell ref="A12:A17"/>
    <mergeCell ref="A19:A26"/>
    <mergeCell ref="B19:N19"/>
    <mergeCell ref="B24:N24"/>
    <mergeCell ref="A27:A34"/>
    <mergeCell ref="B27:N27"/>
    <mergeCell ref="B32:N3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zoomScale="85" zoomScaleNormal="85" workbookViewId="0">
      <selection activeCell="W30" sqref="W30"/>
    </sheetView>
  </sheetViews>
  <sheetFormatPr defaultRowHeight="15" x14ac:dyDescent="0.25"/>
  <cols>
    <col min="1" max="1" width="17.42578125" customWidth="1"/>
    <col min="2" max="2" width="15.5703125" customWidth="1"/>
    <col min="3" max="3" width="17.42578125" customWidth="1"/>
    <col min="4" max="4" width="21" customWidth="1"/>
    <col min="5" max="5" width="18.42578125" customWidth="1"/>
    <col min="6" max="6" width="18" customWidth="1"/>
    <col min="7" max="7" width="18" hidden="1" customWidth="1"/>
    <col min="8" max="8" width="17.5703125" customWidth="1"/>
    <col min="9" max="9" width="17.5703125" hidden="1" customWidth="1"/>
    <col min="10" max="10" width="17.28515625" customWidth="1"/>
    <col min="11" max="11" width="17.28515625" hidden="1" customWidth="1"/>
    <col min="12" max="12" width="17.7109375" customWidth="1"/>
    <col min="13" max="13" width="17.7109375" hidden="1" customWidth="1"/>
    <col min="14" max="14" width="15.85546875" customWidth="1"/>
    <col min="15" max="15" width="15.85546875" hidden="1" customWidth="1"/>
    <col min="16" max="16" width="17.140625" customWidth="1"/>
    <col min="17" max="17" width="17.140625" hidden="1" customWidth="1"/>
    <col min="18" max="18" width="18.28515625" customWidth="1"/>
    <col min="19" max="19" width="18.28515625" hidden="1" customWidth="1"/>
    <col min="20" max="20" width="17.7109375" customWidth="1"/>
    <col min="21" max="21" width="17.7109375" hidden="1" customWidth="1"/>
    <col min="22" max="22" width="17.7109375" customWidth="1"/>
    <col min="23" max="23" width="12.28515625" style="21" bestFit="1" customWidth="1"/>
  </cols>
  <sheetData>
    <row r="1" spans="1:23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3" x14ac:dyDescent="0.25">
      <c r="A2" s="40" t="s">
        <v>32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</row>
    <row r="3" spans="1:23" ht="28.5" x14ac:dyDescent="0.25">
      <c r="A3" s="3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/>
      <c r="H3" s="5" t="s">
        <v>6</v>
      </c>
      <c r="I3" s="5"/>
      <c r="J3" s="5" t="s">
        <v>7</v>
      </c>
      <c r="K3" s="5"/>
      <c r="L3" s="5" t="s">
        <v>8</v>
      </c>
      <c r="M3" s="5"/>
      <c r="N3" s="5" t="s">
        <v>9</v>
      </c>
      <c r="O3" s="5"/>
      <c r="P3" s="5" t="s">
        <v>10</v>
      </c>
      <c r="Q3" s="5"/>
      <c r="R3" s="5" t="s">
        <v>11</v>
      </c>
      <c r="S3" s="5"/>
      <c r="T3" s="5" t="s">
        <v>12</v>
      </c>
      <c r="U3" s="5"/>
      <c r="V3" s="5" t="s">
        <v>13</v>
      </c>
    </row>
    <row r="4" spans="1:23" x14ac:dyDescent="0.25">
      <c r="A4" s="41" t="s">
        <v>23</v>
      </c>
      <c r="B4" s="44" t="s">
        <v>18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6"/>
    </row>
    <row r="5" spans="1:23" x14ac:dyDescent="0.25">
      <c r="A5" s="42"/>
      <c r="B5" s="13" t="s">
        <v>14</v>
      </c>
      <c r="C5" s="12">
        <v>330050644</v>
      </c>
      <c r="D5" s="12">
        <v>299462601</v>
      </c>
      <c r="E5" s="12">
        <v>308654586</v>
      </c>
      <c r="F5" s="12">
        <v>287790423</v>
      </c>
      <c r="G5" s="12">
        <v>0.96810691316324526</v>
      </c>
      <c r="H5" s="12">
        <v>284654804</v>
      </c>
      <c r="I5" s="12">
        <v>0.94349195140005337</v>
      </c>
      <c r="J5" s="12">
        <v>269920723</v>
      </c>
      <c r="K5" s="12">
        <v>1.0428083090337252</v>
      </c>
      <c r="L5" s="12">
        <v>280844843</v>
      </c>
      <c r="M5" s="12">
        <v>0.98074600635932863</v>
      </c>
      <c r="N5" s="12">
        <v>277115322</v>
      </c>
      <c r="O5" s="12">
        <v>0.98162871382079275</v>
      </c>
      <c r="P5" s="12">
        <v>279925109</v>
      </c>
      <c r="Q5" s="12">
        <v>1.1052838840179269</v>
      </c>
      <c r="R5" s="12">
        <v>304428064</v>
      </c>
      <c r="S5" s="12">
        <v>1.0498722086531975</v>
      </c>
      <c r="T5" s="12">
        <v>302672596</v>
      </c>
      <c r="U5" s="12">
        <v>1.0204622334029865</v>
      </c>
      <c r="V5" s="12">
        <v>320297780</v>
      </c>
      <c r="W5" s="21">
        <f>'2021'!C5/'2020'!V5</f>
        <v>1.0265939776416808</v>
      </c>
    </row>
    <row r="6" spans="1:23" x14ac:dyDescent="0.25">
      <c r="A6" s="42"/>
      <c r="B6" s="13" t="s">
        <v>22</v>
      </c>
      <c r="C6" s="12">
        <v>3967146</v>
      </c>
      <c r="D6" s="12">
        <v>3749543</v>
      </c>
      <c r="E6" s="12">
        <v>2988884</v>
      </c>
      <c r="F6" s="12">
        <v>2118404</v>
      </c>
      <c r="G6" s="12">
        <v>0.75689076225295637</v>
      </c>
      <c r="H6" s="12">
        <v>1495917</v>
      </c>
      <c r="I6" s="12">
        <v>0.57884438124350046</v>
      </c>
      <c r="J6" s="12">
        <v>1085052</v>
      </c>
      <c r="K6" s="12">
        <v>0.83793304082573572</v>
      </c>
      <c r="L6" s="12">
        <v>1000194</v>
      </c>
      <c r="M6" s="12">
        <v>1.1266929189013044</v>
      </c>
      <c r="N6" s="12">
        <v>1064882</v>
      </c>
      <c r="O6" s="12">
        <v>1.4894189261879212</v>
      </c>
      <c r="P6" s="12">
        <v>1549075</v>
      </c>
      <c r="Q6" s="12">
        <v>1.7343956153643729</v>
      </c>
      <c r="R6" s="12">
        <v>2586072</v>
      </c>
      <c r="S6" s="12">
        <v>1.176911400422876</v>
      </c>
      <c r="T6" s="12">
        <v>2892870</v>
      </c>
      <c r="U6" s="12">
        <v>1.1401092688882994</v>
      </c>
      <c r="V6" s="12">
        <v>3354547</v>
      </c>
      <c r="W6" s="21">
        <f>'2021'!C6/'2020'!V6</f>
        <v>1.0917888466013443</v>
      </c>
    </row>
    <row r="7" spans="1:23" x14ac:dyDescent="0.25">
      <c r="A7" s="42"/>
      <c r="B7" s="13" t="s">
        <v>15</v>
      </c>
      <c r="C7" s="12">
        <v>10145136</v>
      </c>
      <c r="D7" s="12">
        <v>9444753</v>
      </c>
      <c r="E7" s="12">
        <v>7909437</v>
      </c>
      <c r="F7" s="12">
        <v>6176693</v>
      </c>
      <c r="G7" s="12">
        <v>0.78079402447080681</v>
      </c>
      <c r="H7" s="12">
        <v>4470542</v>
      </c>
      <c r="I7" s="12">
        <v>0.79689604437045614</v>
      </c>
      <c r="J7" s="12">
        <v>4096163</v>
      </c>
      <c r="K7" s="12">
        <v>0.97069407140857189</v>
      </c>
      <c r="L7" s="12">
        <v>3968510</v>
      </c>
      <c r="M7" s="12">
        <v>1.0725438607457549</v>
      </c>
      <c r="N7" s="12">
        <v>4012685</v>
      </c>
      <c r="O7" s="12">
        <v>1.0984443012283127</v>
      </c>
      <c r="P7" s="12">
        <v>4603271</v>
      </c>
      <c r="Q7" s="12">
        <v>1.3477130021483261</v>
      </c>
      <c r="R7" s="12">
        <v>6461958</v>
      </c>
      <c r="S7" s="12">
        <v>1.2882189809569702</v>
      </c>
      <c r="T7" s="12">
        <v>7944685</v>
      </c>
      <c r="U7" s="12">
        <v>1.1287951686059401</v>
      </c>
      <c r="V7" s="12">
        <v>9538137.0000000019</v>
      </c>
      <c r="W7" s="21">
        <f>'2021'!C7/'2020'!V7</f>
        <v>1.1017749063574991</v>
      </c>
    </row>
    <row r="8" spans="1:23" x14ac:dyDescent="0.25">
      <c r="A8" s="42"/>
      <c r="B8" s="13" t="s">
        <v>16</v>
      </c>
      <c r="C8" s="12">
        <v>1370615</v>
      </c>
      <c r="D8" s="12">
        <v>1269719</v>
      </c>
      <c r="E8" s="12">
        <v>1066952</v>
      </c>
      <c r="F8" s="12">
        <v>838987</v>
      </c>
      <c r="G8" s="12">
        <v>0.79298929116762296</v>
      </c>
      <c r="H8" s="12">
        <v>630727</v>
      </c>
      <c r="I8" s="12">
        <v>0.85907845209429912</v>
      </c>
      <c r="J8" s="12">
        <v>618695</v>
      </c>
      <c r="K8" s="12">
        <v>0.89277746502366506</v>
      </c>
      <c r="L8" s="12">
        <v>577021</v>
      </c>
      <c r="M8" s="12">
        <v>1.0460448504401469</v>
      </c>
      <c r="N8" s="12">
        <v>578423</v>
      </c>
      <c r="O8" s="12">
        <v>1.257284379031705</v>
      </c>
      <c r="P8" s="12">
        <v>746226</v>
      </c>
      <c r="Q8" s="12">
        <v>1.0767053021712494</v>
      </c>
      <c r="R8" s="12">
        <v>884660</v>
      </c>
      <c r="S8" s="12">
        <v>1.2521393196586512</v>
      </c>
      <c r="T8" s="12">
        <v>1048701</v>
      </c>
      <c r="U8" s="12">
        <v>1.1292039427942959</v>
      </c>
      <c r="V8" s="12">
        <v>1152287</v>
      </c>
      <c r="W8" s="21">
        <f>'2021'!C8/'2020'!V8</f>
        <v>1.2555682742233489</v>
      </c>
    </row>
    <row r="9" spans="1:23" x14ac:dyDescent="0.25">
      <c r="A9" s="42"/>
      <c r="B9" s="44" t="s">
        <v>24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6"/>
    </row>
    <row r="10" spans="1:23" x14ac:dyDescent="0.25">
      <c r="A10" s="42"/>
      <c r="B10" s="14"/>
      <c r="C10" s="12">
        <v>6974784</v>
      </c>
      <c r="D10" s="12">
        <v>7067844</v>
      </c>
      <c r="E10" s="12">
        <v>6124301</v>
      </c>
      <c r="F10" s="12">
        <v>5585305</v>
      </c>
      <c r="G10" s="12">
        <v>0.91608557117119993</v>
      </c>
      <c r="H10" s="12">
        <v>4946798</v>
      </c>
      <c r="I10" s="12">
        <v>1</v>
      </c>
      <c r="J10" s="12">
        <v>4745205</v>
      </c>
      <c r="K10" s="12">
        <v>0.73627354424427449</v>
      </c>
      <c r="L10" s="12">
        <v>3739387</v>
      </c>
      <c r="M10" s="12">
        <v>1.0743586657734017</v>
      </c>
      <c r="N10" s="12">
        <v>3918722</v>
      </c>
      <c r="O10" s="12">
        <v>1.1449783045547317</v>
      </c>
      <c r="P10" s="12">
        <v>4707569</v>
      </c>
      <c r="Q10" s="12">
        <v>1.0312528568584192</v>
      </c>
      <c r="R10" s="12">
        <v>5177497</v>
      </c>
      <c r="S10" s="12">
        <v>1.346737319202826</v>
      </c>
      <c r="T10" s="12">
        <v>5950089</v>
      </c>
      <c r="U10" s="12">
        <v>1.1506639412821515</v>
      </c>
      <c r="V10" s="12">
        <v>7013033</v>
      </c>
      <c r="W10" s="21">
        <f>'2021'!C10/'2020'!V10</f>
        <v>1.2145307173087592</v>
      </c>
    </row>
    <row r="11" spans="1:23" x14ac:dyDescent="0.25">
      <c r="A11" s="43"/>
      <c r="B11" s="15" t="s">
        <v>17</v>
      </c>
      <c r="C11" s="16">
        <f t="shared" ref="C11:D11" si="0">SUM(C5:C8,C10)</f>
        <v>352508325</v>
      </c>
      <c r="D11" s="16">
        <f t="shared" si="0"/>
        <v>320994460</v>
      </c>
      <c r="E11" s="16">
        <f>SUM(E5:E8,E10)</f>
        <v>326744160</v>
      </c>
      <c r="F11" s="16">
        <f>SUM(F5:F8,F10)</f>
        <v>302509812</v>
      </c>
      <c r="G11" s="16"/>
      <c r="H11" s="16">
        <f>SUM(H5:H8,H10)</f>
        <v>296198788</v>
      </c>
      <c r="I11" s="16"/>
      <c r="J11" s="16">
        <f>SUM(J5:J8,J10)</f>
        <v>280465838</v>
      </c>
      <c r="K11" s="16"/>
      <c r="L11" s="16">
        <f t="shared" ref="L11:V11" si="1">SUM(L5:L8,L10)</f>
        <v>290129955</v>
      </c>
      <c r="M11" s="16"/>
      <c r="N11" s="16">
        <f t="shared" si="1"/>
        <v>286690034</v>
      </c>
      <c r="O11" s="16"/>
      <c r="P11" s="16">
        <f t="shared" si="1"/>
        <v>291531250</v>
      </c>
      <c r="Q11" s="16"/>
      <c r="R11" s="16">
        <f t="shared" si="1"/>
        <v>319538251</v>
      </c>
      <c r="S11" s="16"/>
      <c r="T11" s="16">
        <f t="shared" si="1"/>
        <v>320508941</v>
      </c>
      <c r="U11" s="16"/>
      <c r="V11" s="16">
        <f t="shared" si="1"/>
        <v>341355784</v>
      </c>
    </row>
    <row r="12" spans="1:23" ht="23.25" customHeight="1" x14ac:dyDescent="0.25">
      <c r="A12" s="41" t="s">
        <v>34</v>
      </c>
      <c r="B12" s="17" t="s">
        <v>14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1:23" ht="18.75" customHeight="1" x14ac:dyDescent="0.25">
      <c r="A13" s="42"/>
      <c r="B13" s="17" t="s">
        <v>22</v>
      </c>
      <c r="C13" s="12">
        <v>1609</v>
      </c>
      <c r="D13" s="12">
        <v>4463</v>
      </c>
      <c r="E13" s="12">
        <v>4463</v>
      </c>
      <c r="F13" s="12">
        <v>6</v>
      </c>
      <c r="G13" s="12">
        <v>1</v>
      </c>
      <c r="H13" s="12">
        <f t="shared" ref="H13" si="2">F13*G13</f>
        <v>6</v>
      </c>
      <c r="I13" s="12">
        <v>1</v>
      </c>
      <c r="J13" s="12">
        <f t="shared" ref="J13" si="3">I13*H13</f>
        <v>6</v>
      </c>
      <c r="K13" s="12">
        <v>1</v>
      </c>
      <c r="L13" s="12">
        <v>57</v>
      </c>
      <c r="M13" s="12">
        <v>860.33333333333337</v>
      </c>
      <c r="N13" s="12">
        <f>L13*M13</f>
        <v>49039</v>
      </c>
      <c r="O13" s="12">
        <v>0.41882991088725302</v>
      </c>
      <c r="P13" s="12">
        <v>6</v>
      </c>
      <c r="Q13" s="12">
        <v>1.3612395929694727</v>
      </c>
      <c r="R13" s="12">
        <v>129</v>
      </c>
      <c r="S13" s="12">
        <v>0.49439347604485218</v>
      </c>
      <c r="T13" s="12">
        <v>1106</v>
      </c>
      <c r="U13" s="12">
        <v>1.0673539518900343</v>
      </c>
      <c r="V13" s="12">
        <v>230</v>
      </c>
      <c r="W13" s="21">
        <f>'2021'!C13/'2020'!V13</f>
        <v>3.5695652173913044</v>
      </c>
    </row>
    <row r="14" spans="1:23" ht="17.25" customHeight="1" x14ac:dyDescent="0.25">
      <c r="A14" s="42"/>
      <c r="B14" s="17" t="s">
        <v>15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spans="1:23" ht="19.5" customHeight="1" x14ac:dyDescent="0.25">
      <c r="A15" s="42"/>
      <c r="B15" s="17" t="s">
        <v>16</v>
      </c>
      <c r="C15" s="12">
        <v>5840</v>
      </c>
      <c r="D15" s="12">
        <v>5539</v>
      </c>
      <c r="E15" s="12">
        <v>5539</v>
      </c>
      <c r="F15" s="12">
        <v>1846</v>
      </c>
      <c r="G15" s="12">
        <v>0.56065192083818394</v>
      </c>
      <c r="H15" s="12">
        <v>2198</v>
      </c>
      <c r="I15" s="12">
        <v>1</v>
      </c>
      <c r="J15" s="12">
        <v>2225</v>
      </c>
      <c r="K15" s="12">
        <v>1.1112956810631229</v>
      </c>
      <c r="L15" s="12">
        <v>2524</v>
      </c>
      <c r="M15" s="12">
        <v>0.96001494768310913</v>
      </c>
      <c r="N15" s="12">
        <f>L15*M15</f>
        <v>2423.0777279521676</v>
      </c>
      <c r="O15" s="12">
        <v>1.4110548851693265</v>
      </c>
      <c r="P15" s="12">
        <v>2105</v>
      </c>
      <c r="Q15" s="12">
        <v>0.65655172413793106</v>
      </c>
      <c r="R15" s="12">
        <v>1732</v>
      </c>
      <c r="S15" s="12">
        <v>2.2605042016806722</v>
      </c>
      <c r="T15" s="12">
        <v>2959</v>
      </c>
      <c r="U15" s="12">
        <v>0.80334572490706324</v>
      </c>
      <c r="V15" s="12">
        <v>3818</v>
      </c>
      <c r="W15" s="21">
        <f>'2021'!C15/'2020'!V15</f>
        <v>1.2307490832896804</v>
      </c>
    </row>
    <row r="16" spans="1:23" ht="17.25" customHeight="1" x14ac:dyDescent="0.25">
      <c r="A16" s="42"/>
      <c r="B16" s="17"/>
      <c r="C16" s="12"/>
      <c r="D16" s="12"/>
      <c r="E16" s="12"/>
      <c r="F16" s="12"/>
      <c r="G16" s="12"/>
      <c r="H16" s="12"/>
      <c r="I16" s="12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:23" ht="23.25" customHeight="1" x14ac:dyDescent="0.25">
      <c r="A17" s="43"/>
      <c r="B17" s="17"/>
      <c r="C17" s="12">
        <v>22364</v>
      </c>
      <c r="D17" s="12">
        <v>18559</v>
      </c>
      <c r="E17" s="12">
        <v>18559</v>
      </c>
      <c r="F17" s="12">
        <v>15281</v>
      </c>
      <c r="G17" s="12">
        <v>0.71985305861683435</v>
      </c>
      <c r="H17" s="12">
        <v>13599</v>
      </c>
      <c r="I17" s="12">
        <v>1</v>
      </c>
      <c r="J17" s="12">
        <v>15946</v>
      </c>
      <c r="K17" s="12">
        <v>0.91990237408475706</v>
      </c>
      <c r="L17" s="12">
        <v>10572</v>
      </c>
      <c r="M17" s="12">
        <v>0.93334941308892105</v>
      </c>
      <c r="N17" s="12">
        <f>L17*M17</f>
        <v>9867.3699951760736</v>
      </c>
      <c r="O17" s="12">
        <v>1.2099233353432681</v>
      </c>
      <c r="P17" s="12">
        <v>11882</v>
      </c>
      <c r="Q17" s="12">
        <v>0.98796810479851915</v>
      </c>
      <c r="R17" s="12">
        <v>13013</v>
      </c>
      <c r="S17" s="12">
        <v>1.2137349571232976</v>
      </c>
      <c r="T17" s="12">
        <v>15252</v>
      </c>
      <c r="U17" s="12">
        <v>1.2561301430861485</v>
      </c>
      <c r="V17" s="12">
        <v>15748</v>
      </c>
      <c r="W17" s="21">
        <f>'2021'!C17/'2020'!V17</f>
        <v>1.44500889001778</v>
      </c>
    </row>
    <row r="18" spans="1:23" ht="18.75" customHeight="1" x14ac:dyDescent="0.25">
      <c r="A18" s="47" t="s">
        <v>17</v>
      </c>
      <c r="B18" s="48"/>
      <c r="C18" s="16">
        <f t="shared" ref="C18:N18" si="4">SUM(C12:C15,C17)</f>
        <v>29813</v>
      </c>
      <c r="D18" s="16">
        <f t="shared" si="4"/>
        <v>28561</v>
      </c>
      <c r="E18" s="16">
        <f>SUM(E12:E15,E17)</f>
        <v>28561</v>
      </c>
      <c r="F18" s="16">
        <f t="shared" si="4"/>
        <v>17133</v>
      </c>
      <c r="G18" s="16"/>
      <c r="H18" s="16">
        <f t="shared" si="4"/>
        <v>15803</v>
      </c>
      <c r="I18" s="16"/>
      <c r="J18" s="16">
        <f t="shared" si="4"/>
        <v>18177</v>
      </c>
      <c r="K18" s="16"/>
      <c r="L18" s="16">
        <f t="shared" si="4"/>
        <v>13153</v>
      </c>
      <c r="M18" s="16"/>
      <c r="N18" s="16">
        <f t="shared" si="4"/>
        <v>61329.447723128236</v>
      </c>
      <c r="O18" s="16"/>
      <c r="P18" s="16">
        <f>SUM(P12:P15,P17)</f>
        <v>13993</v>
      </c>
      <c r="Q18" s="16"/>
      <c r="R18" s="16">
        <f>SUM(R12:R15,R17)</f>
        <v>14874</v>
      </c>
      <c r="S18" s="16"/>
      <c r="T18" s="16">
        <f>SUM(T12:T15,T17)</f>
        <v>19317</v>
      </c>
      <c r="U18" s="16"/>
      <c r="V18" s="16">
        <f>SUM(V12:V15,V17)</f>
        <v>19796</v>
      </c>
    </row>
    <row r="19" spans="1:23" x14ac:dyDescent="0.25">
      <c r="A19" s="41" t="s">
        <v>28</v>
      </c>
      <c r="B19" s="44" t="s">
        <v>18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6"/>
    </row>
    <row r="20" spans="1:23" x14ac:dyDescent="0.25">
      <c r="A20" s="42"/>
      <c r="B20" s="13" t="s">
        <v>14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3" x14ac:dyDescent="0.25">
      <c r="A21" s="42"/>
      <c r="B21" s="13" t="s">
        <v>22</v>
      </c>
      <c r="C21" s="12">
        <v>5134</v>
      </c>
      <c r="D21" s="12">
        <v>5404</v>
      </c>
      <c r="E21" s="12">
        <v>5034</v>
      </c>
      <c r="F21" s="12">
        <v>5162</v>
      </c>
      <c r="G21" s="12">
        <v>1.0044935405354802</v>
      </c>
      <c r="H21" s="12">
        <v>4914</v>
      </c>
      <c r="I21" s="12">
        <v>0.98285181733457594</v>
      </c>
      <c r="J21" s="12">
        <v>5229</v>
      </c>
      <c r="K21" s="12">
        <v>0.95126114166508624</v>
      </c>
      <c r="L21" s="12">
        <v>5143</v>
      </c>
      <c r="M21" s="12">
        <v>1.039274322169059</v>
      </c>
      <c r="N21" s="12">
        <v>5411</v>
      </c>
      <c r="O21" s="12">
        <v>1.051218108574717</v>
      </c>
      <c r="P21" s="12">
        <v>4864</v>
      </c>
      <c r="Q21" s="12">
        <v>0.91313868613138682</v>
      </c>
      <c r="R21" s="12">
        <v>4743</v>
      </c>
      <c r="S21" s="12">
        <v>1.0591526778577138</v>
      </c>
      <c r="T21" s="12">
        <v>5104</v>
      </c>
      <c r="U21" s="12">
        <v>0.93037735849056602</v>
      </c>
      <c r="V21" s="12">
        <v>4390</v>
      </c>
      <c r="W21" s="21">
        <f>'2021'!C21/'2020'!V21</f>
        <v>1.3596810933940775</v>
      </c>
    </row>
    <row r="22" spans="1:23" x14ac:dyDescent="0.25">
      <c r="A22" s="42"/>
      <c r="B22" s="13" t="s">
        <v>15</v>
      </c>
      <c r="C22" s="12"/>
      <c r="D22" s="12">
        <v>150515</v>
      </c>
      <c r="E22" s="12">
        <v>141583</v>
      </c>
      <c r="F22" s="12">
        <v>89776</v>
      </c>
      <c r="H22" s="12">
        <v>76966</v>
      </c>
      <c r="I22" s="12">
        <f>H22/F22</f>
        <v>0.85731153092140433</v>
      </c>
      <c r="J22" s="12">
        <v>60653</v>
      </c>
      <c r="K22" s="12">
        <v>0</v>
      </c>
      <c r="L22" s="12">
        <v>52923</v>
      </c>
      <c r="M22" s="12">
        <f>L22/J22</f>
        <v>0.87255370715380942</v>
      </c>
      <c r="N22" s="12">
        <v>56049</v>
      </c>
      <c r="O22" s="12">
        <f>N22/L22</f>
        <v>1.0590669463182358</v>
      </c>
      <c r="P22" s="12">
        <v>75560</v>
      </c>
      <c r="Q22" s="12">
        <f>P22/N22</f>
        <v>1.3481061214294634</v>
      </c>
      <c r="R22" s="12">
        <v>118242</v>
      </c>
      <c r="S22" s="12">
        <f>R22/P22</f>
        <v>1.5648755955532028</v>
      </c>
      <c r="T22" s="12">
        <v>129125</v>
      </c>
      <c r="U22" s="12">
        <f>T22/R22</f>
        <v>1.0920400534497048</v>
      </c>
      <c r="V22" s="12">
        <v>210619</v>
      </c>
      <c r="W22" s="21">
        <f>'2021'!C22/'2020'!V22</f>
        <v>0.970672161580864</v>
      </c>
    </row>
    <row r="23" spans="1:23" ht="15" customHeight="1" x14ac:dyDescent="0.25">
      <c r="A23" s="42"/>
      <c r="B23" s="13" t="s">
        <v>16</v>
      </c>
      <c r="C23" s="12">
        <v>82862</v>
      </c>
      <c r="D23" s="12">
        <v>75499</v>
      </c>
      <c r="E23" s="12">
        <v>61020</v>
      </c>
      <c r="F23" s="12">
        <v>36922</v>
      </c>
      <c r="G23" s="12">
        <v>0.71412152814728103</v>
      </c>
      <c r="H23" s="12">
        <v>24292</v>
      </c>
      <c r="I23" s="12">
        <v>0.27040801120615149</v>
      </c>
      <c r="J23" s="12">
        <v>7053</v>
      </c>
      <c r="K23" s="12">
        <v>0.78948528601344647</v>
      </c>
      <c r="L23" s="12">
        <v>6386</v>
      </c>
      <c r="M23" s="12">
        <v>1.0608683512494765</v>
      </c>
      <c r="N23" s="12">
        <v>6566</v>
      </c>
      <c r="O23" s="12">
        <v>2.520726411369917</v>
      </c>
      <c r="P23" s="12">
        <v>16620</v>
      </c>
      <c r="Q23" s="12">
        <v>2.1829809449229964</v>
      </c>
      <c r="R23" s="12">
        <v>42852</v>
      </c>
      <c r="S23" s="12">
        <v>1.5415281597512853</v>
      </c>
      <c r="T23" s="12">
        <v>57211</v>
      </c>
      <c r="U23" s="12">
        <v>1.1430832001737539</v>
      </c>
      <c r="V23" s="12">
        <v>156554</v>
      </c>
      <c r="W23" s="21">
        <f>'2021'!C23/'2020'!V23</f>
        <v>1.3192700282330698</v>
      </c>
    </row>
    <row r="24" spans="1:23" x14ac:dyDescent="0.25">
      <c r="A24" s="42"/>
      <c r="B24" s="44" t="s">
        <v>24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6"/>
    </row>
    <row r="25" spans="1:23" x14ac:dyDescent="0.25">
      <c r="A25" s="42"/>
      <c r="B25" s="14"/>
      <c r="C25" s="12">
        <v>167942</v>
      </c>
      <c r="D25" s="12">
        <v>158719</v>
      </c>
      <c r="E25" s="12">
        <v>119237</v>
      </c>
      <c r="F25" s="12">
        <v>97467</v>
      </c>
      <c r="G25" s="12">
        <v>0.83354063434108372</v>
      </c>
      <c r="H25" s="12">
        <v>81497</v>
      </c>
      <c r="I25" s="12">
        <v>0.67423194021588706</v>
      </c>
      <c r="J25" s="12">
        <v>63601</v>
      </c>
      <c r="K25" s="12">
        <v>0.86283643892339545</v>
      </c>
      <c r="L25" s="12">
        <v>48345</v>
      </c>
      <c r="M25" s="12">
        <v>1.1800467492708355</v>
      </c>
      <c r="N25" s="12">
        <v>58783</v>
      </c>
      <c r="O25" s="12">
        <v>1.1787298192718285</v>
      </c>
      <c r="P25" s="12">
        <v>68439</v>
      </c>
      <c r="Q25" s="12">
        <v>1.3082848772362923</v>
      </c>
      <c r="R25" s="12">
        <v>106574</v>
      </c>
      <c r="S25" s="12">
        <v>1.4969592943289418</v>
      </c>
      <c r="T25" s="12">
        <v>423825</v>
      </c>
      <c r="U25" s="12">
        <v>1.1258390790632689</v>
      </c>
      <c r="V25" s="12">
        <v>642875</v>
      </c>
      <c r="W25" s="21">
        <f>'2021'!C25/'2020'!V25</f>
        <v>1.4563111024693758</v>
      </c>
    </row>
    <row r="26" spans="1:23" x14ac:dyDescent="0.25">
      <c r="A26" s="43"/>
      <c r="B26" s="15" t="s">
        <v>17</v>
      </c>
      <c r="C26" s="16">
        <f t="shared" ref="C26:F26" si="5">SUM(C20:C23,C25)</f>
        <v>255938</v>
      </c>
      <c r="D26" s="16">
        <f>SUM(D20:D23,D25)</f>
        <v>390137</v>
      </c>
      <c r="E26" s="16">
        <f>SUM(E20:E23,E25)</f>
        <v>326874</v>
      </c>
      <c r="F26" s="16">
        <f t="shared" si="5"/>
        <v>229327</v>
      </c>
      <c r="G26" s="16"/>
      <c r="H26" s="16">
        <f>SUM(H20:H23,H25)</f>
        <v>187669</v>
      </c>
      <c r="I26" s="16"/>
      <c r="J26" s="16">
        <f t="shared" ref="J26:V26" si="6">SUM(J20:J23,J25)</f>
        <v>136536</v>
      </c>
      <c r="K26" s="16"/>
      <c r="L26" s="16">
        <f t="shared" si="6"/>
        <v>112797</v>
      </c>
      <c r="M26" s="16"/>
      <c r="N26" s="16">
        <f t="shared" si="6"/>
        <v>126809</v>
      </c>
      <c r="O26" s="16"/>
      <c r="P26" s="16">
        <f t="shared" si="6"/>
        <v>165483</v>
      </c>
      <c r="Q26" s="16"/>
      <c r="R26" s="16">
        <f>SUM(R20:R23,R25)</f>
        <v>272411</v>
      </c>
      <c r="S26" s="16"/>
      <c r="T26" s="16">
        <f t="shared" si="6"/>
        <v>615265</v>
      </c>
      <c r="U26" s="16"/>
      <c r="V26" s="16">
        <f t="shared" si="6"/>
        <v>1014438</v>
      </c>
    </row>
    <row r="27" spans="1:23" x14ac:dyDescent="0.25">
      <c r="A27" s="41" t="s">
        <v>33</v>
      </c>
      <c r="B27" s="44" t="s">
        <v>18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6"/>
    </row>
    <row r="28" spans="1:23" x14ac:dyDescent="0.25">
      <c r="A28" s="42"/>
      <c r="B28" s="13" t="s">
        <v>14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1:23" x14ac:dyDescent="0.25">
      <c r="A29" s="42"/>
      <c r="B29" s="13" t="s">
        <v>22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</row>
    <row r="30" spans="1:23" x14ac:dyDescent="0.25">
      <c r="A30" s="42"/>
      <c r="B30" s="13" t="s">
        <v>15</v>
      </c>
      <c r="C30" s="12">
        <v>3540</v>
      </c>
      <c r="D30" s="12">
        <v>2862</v>
      </c>
      <c r="E30" s="12">
        <v>2593</v>
      </c>
      <c r="F30" s="12">
        <v>2320</v>
      </c>
      <c r="G30" s="12">
        <v>1.0690671031096564</v>
      </c>
      <c r="H30" s="12">
        <v>2136</v>
      </c>
      <c r="I30" s="12">
        <v>0.93600734843845679</v>
      </c>
      <c r="J30" s="12">
        <v>2569</v>
      </c>
      <c r="K30" s="12">
        <v>0.77330716388616294</v>
      </c>
      <c r="L30" s="12">
        <v>1076</v>
      </c>
      <c r="M30" s="12">
        <v>0.95389170896785114</v>
      </c>
      <c r="N30" s="12">
        <v>3350</v>
      </c>
      <c r="O30" s="12">
        <v>0.95609756097560972</v>
      </c>
      <c r="P30" s="12">
        <v>2409</v>
      </c>
      <c r="Q30" s="12">
        <v>1.1331168831168832</v>
      </c>
      <c r="R30" s="12">
        <v>2014</v>
      </c>
      <c r="S30" s="12">
        <v>1.2234957020057307</v>
      </c>
      <c r="T30" s="12">
        <v>2697</v>
      </c>
      <c r="U30" s="12">
        <v>0.89963198394111743</v>
      </c>
      <c r="V30" s="12">
        <v>2286</v>
      </c>
      <c r="W30" s="21">
        <f>'2021'!C30/'2020'!V30</f>
        <v>0</v>
      </c>
    </row>
    <row r="31" spans="1:23" ht="15" customHeight="1" x14ac:dyDescent="0.25">
      <c r="A31" s="42"/>
      <c r="B31" s="13" t="s">
        <v>16</v>
      </c>
      <c r="C31" s="12">
        <v>74339</v>
      </c>
      <c r="D31" s="12">
        <v>74338</v>
      </c>
      <c r="E31" s="12">
        <v>75124</v>
      </c>
      <c r="F31" s="12">
        <v>60700</v>
      </c>
      <c r="G31" s="12">
        <v>0.93286172790987099</v>
      </c>
      <c r="H31" s="12">
        <v>52215</v>
      </c>
      <c r="I31" s="12">
        <v>0.67311473107709596</v>
      </c>
      <c r="J31" s="12">
        <v>43350</v>
      </c>
      <c r="K31" s="12">
        <v>0.92468575601105718</v>
      </c>
      <c r="L31" s="12">
        <v>32280</v>
      </c>
      <c r="M31" s="12">
        <v>1.2127587568390772</v>
      </c>
      <c r="N31" s="12">
        <v>34217</v>
      </c>
      <c r="O31" s="12">
        <v>0.86798288451699923</v>
      </c>
      <c r="P31" s="12">
        <v>41568</v>
      </c>
      <c r="Q31" s="12">
        <v>1.5120964501004688</v>
      </c>
      <c r="R31" s="12">
        <v>55182</v>
      </c>
      <c r="S31" s="12">
        <v>1.3429366218395082</v>
      </c>
      <c r="T31" s="12">
        <v>68022</v>
      </c>
      <c r="U31" s="12">
        <v>0.99155605984642581</v>
      </c>
      <c r="V31" s="12">
        <v>82419</v>
      </c>
      <c r="W31" s="21">
        <f>'2021'!C31/'2020'!V31</f>
        <v>0</v>
      </c>
    </row>
    <row r="32" spans="1:23" x14ac:dyDescent="0.25">
      <c r="A32" s="42"/>
      <c r="B32" s="44" t="s">
        <v>24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6"/>
    </row>
    <row r="33" spans="1:23" x14ac:dyDescent="0.25">
      <c r="A33" s="42"/>
      <c r="B33" s="14"/>
      <c r="C33" s="12">
        <v>552</v>
      </c>
      <c r="D33" s="12">
        <v>552</v>
      </c>
      <c r="E33" s="12">
        <v>450</v>
      </c>
      <c r="F33" s="12">
        <v>450</v>
      </c>
      <c r="G33" s="12">
        <v>1</v>
      </c>
      <c r="H33" s="12">
        <f t="shared" ref="H33" si="7">F33*G33</f>
        <v>450</v>
      </c>
      <c r="I33" s="12">
        <v>1</v>
      </c>
      <c r="J33" s="12">
        <f t="shared" ref="J33" si="8">I33*H33</f>
        <v>450</v>
      </c>
      <c r="K33" s="12">
        <v>1</v>
      </c>
      <c r="L33" s="12">
        <f t="shared" ref="L33" si="9">J33*K33</f>
        <v>450</v>
      </c>
      <c r="M33" s="12">
        <v>1</v>
      </c>
      <c r="N33" s="12">
        <v>450</v>
      </c>
      <c r="O33" s="12">
        <v>1</v>
      </c>
      <c r="P33" s="12">
        <f>N33*O33</f>
        <v>450</v>
      </c>
      <c r="Q33" s="12">
        <v>1</v>
      </c>
      <c r="R33" s="12">
        <f>P33*Q33</f>
        <v>450</v>
      </c>
      <c r="S33" s="12">
        <v>1</v>
      </c>
      <c r="T33" s="12">
        <f>R33*S33</f>
        <v>450</v>
      </c>
      <c r="U33" s="12">
        <v>1</v>
      </c>
      <c r="V33" s="12">
        <f>T33*U33</f>
        <v>450</v>
      </c>
      <c r="W33" s="21">
        <f>'2021'!C33/'2020'!V33</f>
        <v>0</v>
      </c>
    </row>
    <row r="34" spans="1:23" x14ac:dyDescent="0.25">
      <c r="A34" s="43"/>
      <c r="B34" s="15" t="s">
        <v>17</v>
      </c>
      <c r="C34" s="16">
        <f t="shared" ref="C34:F34" si="10">SUM(C28:C31,C33)</f>
        <v>78431</v>
      </c>
      <c r="D34" s="16">
        <f t="shared" si="10"/>
        <v>77752</v>
      </c>
      <c r="E34" s="16">
        <f>SUM(E28:E31,E33)</f>
        <v>78167</v>
      </c>
      <c r="F34" s="16">
        <f t="shared" si="10"/>
        <v>63470</v>
      </c>
      <c r="G34" s="16"/>
      <c r="H34" s="16">
        <f>SUM(H28:H31,H33)</f>
        <v>54801</v>
      </c>
      <c r="I34" s="16"/>
      <c r="J34" s="16">
        <f>SUM(J28:J31,J33)</f>
        <v>46369</v>
      </c>
      <c r="K34" s="16"/>
      <c r="L34" s="16">
        <f>SUM(L28:L31,L33)</f>
        <v>33806</v>
      </c>
      <c r="M34" s="16"/>
      <c r="N34" s="16">
        <f>SUM(N28:N31,N33)</f>
        <v>38017</v>
      </c>
      <c r="O34" s="16"/>
      <c r="P34" s="16">
        <f t="shared" ref="P34" si="11">SUM(P28:P31,P33)</f>
        <v>44427</v>
      </c>
      <c r="Q34" s="16"/>
      <c r="R34" s="16">
        <f>SUM(R28:R31,R33)</f>
        <v>57646</v>
      </c>
      <c r="S34" s="16"/>
      <c r="T34" s="16">
        <f t="shared" ref="T34:V34" si="12">SUM(T28:T31,T33)</f>
        <v>71169</v>
      </c>
      <c r="U34" s="16"/>
      <c r="V34" s="16">
        <f t="shared" si="12"/>
        <v>85155</v>
      </c>
    </row>
  </sheetData>
  <mergeCells count="12">
    <mergeCell ref="A18:B18"/>
    <mergeCell ref="A2:V2"/>
    <mergeCell ref="A4:A11"/>
    <mergeCell ref="B4:V4"/>
    <mergeCell ref="B9:V9"/>
    <mergeCell ref="A12:A17"/>
    <mergeCell ref="A19:A26"/>
    <mergeCell ref="B19:V19"/>
    <mergeCell ref="B24:V24"/>
    <mergeCell ref="A27:A34"/>
    <mergeCell ref="B27:V27"/>
    <mergeCell ref="B32:V3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4"/>
  <sheetViews>
    <sheetView zoomScale="85" zoomScaleNormal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H25" sqref="AH25"/>
    </sheetView>
  </sheetViews>
  <sheetFormatPr defaultColWidth="9.140625" defaultRowHeight="15" x14ac:dyDescent="0.25"/>
  <cols>
    <col min="1" max="1" width="17.42578125" style="23" customWidth="1"/>
    <col min="2" max="2" width="15.5703125" style="23" customWidth="1"/>
    <col min="3" max="3" width="17.42578125" style="23" customWidth="1"/>
    <col min="4" max="4" width="17.42578125" style="23" hidden="1" customWidth="1"/>
    <col min="5" max="5" width="21" style="23" customWidth="1"/>
    <col min="6" max="6" width="21" style="23" hidden="1" customWidth="1"/>
    <col min="7" max="7" width="18.42578125" style="23" customWidth="1"/>
    <col min="8" max="8" width="18.42578125" style="23" hidden="1" customWidth="1"/>
    <col min="9" max="9" width="18" style="23" customWidth="1"/>
    <col min="10" max="11" width="18" style="23" hidden="1" customWidth="1"/>
    <col min="12" max="12" width="17.5703125" style="23" customWidth="1"/>
    <col min="13" max="14" width="17.5703125" style="23" hidden="1" customWidth="1"/>
    <col min="15" max="15" width="17.28515625" style="23" customWidth="1"/>
    <col min="16" max="17" width="17.28515625" style="23" hidden="1" customWidth="1"/>
    <col min="18" max="18" width="17.7109375" style="23" customWidth="1"/>
    <col min="19" max="20" width="17.7109375" style="23" hidden="1" customWidth="1"/>
    <col min="21" max="21" width="15.85546875" style="23" customWidth="1"/>
    <col min="22" max="23" width="15.85546875" style="23" hidden="1" customWidth="1"/>
    <col min="24" max="24" width="17.140625" style="23" customWidth="1"/>
    <col min="25" max="26" width="17.140625" style="23" hidden="1" customWidth="1"/>
    <col min="27" max="27" width="18.28515625" style="23" customWidth="1"/>
    <col min="28" max="29" width="18.28515625" style="23" hidden="1" customWidth="1"/>
    <col min="30" max="30" width="17.7109375" style="23" customWidth="1"/>
    <col min="31" max="32" width="17.7109375" style="23" hidden="1" customWidth="1"/>
    <col min="33" max="33" width="17.7109375" style="23" customWidth="1"/>
    <col min="34" max="34" width="9.140625" style="34"/>
    <col min="35" max="16384" width="9.140625" style="23"/>
  </cols>
  <sheetData>
    <row r="1" spans="1:34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</row>
    <row r="2" spans="1:34" x14ac:dyDescent="0.25">
      <c r="A2" s="57" t="s">
        <v>35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</row>
    <row r="3" spans="1:34" ht="28.5" x14ac:dyDescent="0.25">
      <c r="A3" s="24" t="s">
        <v>0</v>
      </c>
      <c r="B3" s="25" t="s">
        <v>1</v>
      </c>
      <c r="C3" s="26" t="s">
        <v>2</v>
      </c>
      <c r="D3" s="26"/>
      <c r="E3" s="26" t="s">
        <v>3</v>
      </c>
      <c r="F3" s="26"/>
      <c r="G3" s="26" t="s">
        <v>4</v>
      </c>
      <c r="H3" s="26"/>
      <c r="I3" s="26" t="s">
        <v>5</v>
      </c>
      <c r="J3" s="26"/>
      <c r="K3" s="26"/>
      <c r="L3" s="26" t="s">
        <v>6</v>
      </c>
      <c r="M3" s="26"/>
      <c r="N3" s="26"/>
      <c r="O3" s="26" t="s">
        <v>7</v>
      </c>
      <c r="P3" s="26"/>
      <c r="Q3" s="26"/>
      <c r="R3" s="26" t="s">
        <v>8</v>
      </c>
      <c r="S3" s="26"/>
      <c r="T3" s="26"/>
      <c r="U3" s="26" t="s">
        <v>9</v>
      </c>
      <c r="V3" s="26"/>
      <c r="W3" s="26"/>
      <c r="X3" s="26" t="s">
        <v>10</v>
      </c>
      <c r="Y3" s="26"/>
      <c r="Z3" s="26"/>
      <c r="AA3" s="26" t="s">
        <v>11</v>
      </c>
      <c r="AB3" s="26"/>
      <c r="AC3" s="26"/>
      <c r="AD3" s="26" t="s">
        <v>12</v>
      </c>
      <c r="AE3" s="26"/>
      <c r="AF3" s="26"/>
      <c r="AG3" s="26" t="s">
        <v>13</v>
      </c>
    </row>
    <row r="4" spans="1:34" x14ac:dyDescent="0.25">
      <c r="A4" s="49" t="s">
        <v>23</v>
      </c>
      <c r="B4" s="52" t="s">
        <v>18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4"/>
    </row>
    <row r="5" spans="1:34" x14ac:dyDescent="0.25">
      <c r="A5" s="50"/>
      <c r="B5" s="27" t="s">
        <v>14</v>
      </c>
      <c r="C5" s="28">
        <v>328815772</v>
      </c>
      <c r="D5" s="28">
        <v>0.90732318340818019</v>
      </c>
      <c r="E5" s="28">
        <v>283550659</v>
      </c>
      <c r="F5" s="28">
        <v>1.0306949347574792</v>
      </c>
      <c r="G5" s="28">
        <v>304906522</v>
      </c>
      <c r="H5" s="28">
        <v>0.93240287380664422</v>
      </c>
      <c r="I5" s="28">
        <v>278658149</v>
      </c>
      <c r="J5" s="28"/>
      <c r="K5" s="28">
        <v>0.98910450539905559</v>
      </c>
      <c r="L5" s="28">
        <v>281602692</v>
      </c>
      <c r="M5" s="28"/>
      <c r="N5" s="28">
        <v>0.94823877625476505</v>
      </c>
      <c r="O5" s="28">
        <v>260110935</v>
      </c>
      <c r="P5" s="28"/>
      <c r="Q5" s="28">
        <v>1.0404715869110945</v>
      </c>
      <c r="R5" s="28">
        <v>248674074</v>
      </c>
      <c r="S5" s="28"/>
      <c r="T5" s="28">
        <v>0.98672035078101827</v>
      </c>
      <c r="U5" s="28">
        <v>262733842</v>
      </c>
      <c r="V5" s="28"/>
      <c r="W5" s="28">
        <v>1.0101394140884061</v>
      </c>
      <c r="X5" s="28">
        <v>258437063</v>
      </c>
      <c r="Y5" s="28"/>
      <c r="Z5" s="28">
        <v>1.0875339660937668</v>
      </c>
      <c r="AA5" s="28">
        <v>293027518</v>
      </c>
      <c r="AB5" s="28"/>
      <c r="AC5" s="28">
        <v>0.99423355397352586</v>
      </c>
      <c r="AD5" s="28">
        <v>289275101</v>
      </c>
      <c r="AE5" s="28"/>
      <c r="AF5" s="28">
        <v>1.0582318460043207</v>
      </c>
      <c r="AG5" s="28">
        <v>291020155</v>
      </c>
      <c r="AH5" s="34">
        <f>'2022'!D5/'2021'!AG5</f>
        <v>1.0455914986369244</v>
      </c>
    </row>
    <row r="6" spans="1:34" x14ac:dyDescent="0.25">
      <c r="A6" s="50"/>
      <c r="B6" s="27" t="s">
        <v>22</v>
      </c>
      <c r="C6" s="28">
        <v>3662457</v>
      </c>
      <c r="D6" s="28">
        <v>0.94514872908635073</v>
      </c>
      <c r="E6" s="28">
        <v>3257148</v>
      </c>
      <c r="F6" s="28">
        <v>0.79713287725997539</v>
      </c>
      <c r="G6" s="28">
        <v>3143054</v>
      </c>
      <c r="H6" s="28">
        <v>0.70876086191367749</v>
      </c>
      <c r="I6" s="28">
        <v>2589169</v>
      </c>
      <c r="J6" s="28"/>
      <c r="K6" s="28">
        <v>0.70615283959055963</v>
      </c>
      <c r="L6" s="28">
        <v>2280477</v>
      </c>
      <c r="M6" s="28"/>
      <c r="N6" s="28">
        <v>0.72534238196370515</v>
      </c>
      <c r="O6" s="28">
        <v>1804049</v>
      </c>
      <c r="P6" s="28"/>
      <c r="Q6" s="28">
        <v>0.92179360989150749</v>
      </c>
      <c r="R6" s="28">
        <v>1396212</v>
      </c>
      <c r="S6" s="28"/>
      <c r="T6" s="28">
        <v>1.0646754529621254</v>
      </c>
      <c r="U6" s="28">
        <v>1262520</v>
      </c>
      <c r="V6" s="28"/>
      <c r="W6" s="28">
        <v>1.4546916935397538</v>
      </c>
      <c r="X6" s="28">
        <v>1923370</v>
      </c>
      <c r="Y6" s="28"/>
      <c r="Z6" s="28">
        <v>1.6694298210222229</v>
      </c>
      <c r="AA6" s="28">
        <v>2674842</v>
      </c>
      <c r="AB6" s="28"/>
      <c r="AC6" s="28">
        <v>1.1186347479884551</v>
      </c>
      <c r="AD6" s="28">
        <v>3152637</v>
      </c>
      <c r="AE6" s="28"/>
      <c r="AF6" s="28">
        <v>1.1595913400878712</v>
      </c>
      <c r="AG6" s="28">
        <v>3962288</v>
      </c>
      <c r="AH6" s="34">
        <f>'2022'!D6/'2021'!AG6</f>
        <v>1.0208175175555134</v>
      </c>
    </row>
    <row r="7" spans="1:34" x14ac:dyDescent="0.25">
      <c r="A7" s="50"/>
      <c r="B7" s="27" t="s">
        <v>15</v>
      </c>
      <c r="C7" s="28">
        <v>10508880</v>
      </c>
      <c r="D7" s="28">
        <v>0.93096366574090283</v>
      </c>
      <c r="E7" s="28">
        <v>9655178</v>
      </c>
      <c r="F7" s="28">
        <v>0.83744244026286341</v>
      </c>
      <c r="G7" s="28">
        <v>7992670</v>
      </c>
      <c r="H7" s="28">
        <v>0.78092701161915823</v>
      </c>
      <c r="I7" s="28">
        <v>6223663</v>
      </c>
      <c r="J7" s="28"/>
      <c r="K7" s="28">
        <v>0.72377597526702397</v>
      </c>
      <c r="L7" s="28">
        <v>4996728</v>
      </c>
      <c r="M7" s="28"/>
      <c r="N7" s="28">
        <v>0.9162564628628922</v>
      </c>
      <c r="O7" s="28">
        <v>4319182</v>
      </c>
      <c r="P7" s="28"/>
      <c r="Q7" s="28">
        <v>0.96883595696753277</v>
      </c>
      <c r="R7" s="28">
        <v>3916013</v>
      </c>
      <c r="S7" s="28"/>
      <c r="T7" s="28">
        <v>1.0111313818032461</v>
      </c>
      <c r="U7" s="28">
        <v>3915658</v>
      </c>
      <c r="V7" s="28"/>
      <c r="W7" s="28">
        <v>1.1471797561981565</v>
      </c>
      <c r="X7" s="28">
        <v>4650060</v>
      </c>
      <c r="Y7" s="28"/>
      <c r="Z7" s="28">
        <v>1.4037752719750802</v>
      </c>
      <c r="AA7" s="28">
        <v>6177570</v>
      </c>
      <c r="AB7" s="28"/>
      <c r="AC7" s="28">
        <v>1.2294547565923517</v>
      </c>
      <c r="AD7" s="28">
        <v>7517872</v>
      </c>
      <c r="AE7" s="28"/>
      <c r="AF7" s="28">
        <v>1.2005683044702216</v>
      </c>
      <c r="AG7" s="28">
        <v>8756964</v>
      </c>
      <c r="AH7" s="34">
        <f>'2022'!D7/'2021'!AG7</f>
        <v>1.1239688777982872</v>
      </c>
    </row>
    <row r="8" spans="1:34" x14ac:dyDescent="0.25">
      <c r="A8" s="50"/>
      <c r="B8" s="27" t="s">
        <v>16</v>
      </c>
      <c r="C8" s="28">
        <f>1443015+3760</f>
        <v>1446775</v>
      </c>
      <c r="D8" s="28">
        <v>0.9263863302240235</v>
      </c>
      <c r="E8" s="28">
        <v>1337577</v>
      </c>
      <c r="F8" s="28">
        <v>0.84030561092651213</v>
      </c>
      <c r="G8" s="28">
        <f>1067353+3199</f>
        <v>1070552</v>
      </c>
      <c r="H8" s="28">
        <v>0.78633996655894545</v>
      </c>
      <c r="I8" s="28">
        <v>870374</v>
      </c>
      <c r="J8" s="28"/>
      <c r="K8" s="28">
        <v>0.75177207751729169</v>
      </c>
      <c r="L8" s="28">
        <v>710540</v>
      </c>
      <c r="M8" s="28"/>
      <c r="N8" s="28">
        <v>0.98092360086059416</v>
      </c>
      <c r="O8" s="28">
        <v>607695</v>
      </c>
      <c r="P8" s="28"/>
      <c r="Q8" s="28">
        <v>0.93264209343860871</v>
      </c>
      <c r="R8" s="28">
        <v>549826</v>
      </c>
      <c r="S8" s="28"/>
      <c r="T8" s="28">
        <v>1.002429720928701</v>
      </c>
      <c r="U8" s="28">
        <f>562564+2662</f>
        <v>565226</v>
      </c>
      <c r="V8" s="28"/>
      <c r="W8" s="28">
        <v>1.2901043008317443</v>
      </c>
      <c r="X8" s="28">
        <v>652546</v>
      </c>
      <c r="Y8" s="28"/>
      <c r="Z8" s="28">
        <v>1.185512163875287</v>
      </c>
      <c r="AA8" s="28">
        <v>789580</v>
      </c>
      <c r="AB8" s="28"/>
      <c r="AC8" s="28">
        <v>1.185428300137906</v>
      </c>
      <c r="AD8" s="28">
        <v>883870</v>
      </c>
      <c r="AE8" s="28"/>
      <c r="AF8" s="28">
        <v>1.0987755327781703</v>
      </c>
      <c r="AG8" s="28">
        <v>1024415</v>
      </c>
      <c r="AH8" s="34">
        <f>'2022'!D8/'2021'!AG8</f>
        <v>1.1176300620354056</v>
      </c>
    </row>
    <row r="9" spans="1:34" x14ac:dyDescent="0.25">
      <c r="A9" s="50"/>
      <c r="B9" s="52" t="s">
        <v>24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4"/>
    </row>
    <row r="10" spans="1:34" x14ac:dyDescent="0.25">
      <c r="A10" s="50"/>
      <c r="B10" s="29"/>
      <c r="C10" s="28">
        <v>8517544</v>
      </c>
      <c r="D10" s="28">
        <v>1.0133423486662814</v>
      </c>
      <c r="E10" s="28">
        <f>C10*D10</f>
        <v>8631188.0418283921</v>
      </c>
      <c r="F10" s="28">
        <v>0.86650200542060629</v>
      </c>
      <c r="G10" s="28">
        <v>6514780</v>
      </c>
      <c r="H10" s="28">
        <v>0.91199060921401476</v>
      </c>
      <c r="I10" s="28">
        <v>5825489</v>
      </c>
      <c r="J10" s="28"/>
      <c r="K10" s="28">
        <v>0.8856809073094486</v>
      </c>
      <c r="L10" s="28">
        <v>5462331</v>
      </c>
      <c r="M10" s="28"/>
      <c r="N10" s="28">
        <v>0.95924778007915423</v>
      </c>
      <c r="O10" s="28">
        <f>[1]июнь!$G$27</f>
        <v>5032815</v>
      </c>
      <c r="P10" s="28"/>
      <c r="Q10" s="28">
        <v>0.78803486888343077</v>
      </c>
      <c r="R10" s="28">
        <f>[2]июль!$G$27</f>
        <v>3958443</v>
      </c>
      <c r="S10" s="28"/>
      <c r="T10" s="28">
        <v>1.0479583953198746</v>
      </c>
      <c r="U10" s="28">
        <v>3989712</v>
      </c>
      <c r="V10" s="28"/>
      <c r="W10" s="28">
        <v>1.2013021081873121</v>
      </c>
      <c r="X10" s="28">
        <v>5059493</v>
      </c>
      <c r="Y10" s="28"/>
      <c r="Z10" s="28">
        <v>1.0998239218586068</v>
      </c>
      <c r="AA10" s="28">
        <v>5452060</v>
      </c>
      <c r="AB10" s="28"/>
      <c r="AC10" s="28">
        <v>1.1492211390948175</v>
      </c>
      <c r="AD10" s="28">
        <v>6236788</v>
      </c>
      <c r="AE10" s="28"/>
      <c r="AF10" s="28">
        <v>1.1786433782755181</v>
      </c>
      <c r="AG10" s="28">
        <v>7405574</v>
      </c>
      <c r="AH10" s="34">
        <f>'2022'!D10/'2021'!AG10</f>
        <v>1.1519601316521852</v>
      </c>
    </row>
    <row r="11" spans="1:34" x14ac:dyDescent="0.25">
      <c r="A11" s="51"/>
      <c r="B11" s="30" t="s">
        <v>17</v>
      </c>
      <c r="C11" s="31">
        <f t="shared" ref="C11:E11" si="0">SUM(C5:C8,C10)</f>
        <v>352951428</v>
      </c>
      <c r="D11" s="31"/>
      <c r="E11" s="31">
        <f t="shared" si="0"/>
        <v>306431750.04182839</v>
      </c>
      <c r="F11" s="31"/>
      <c r="G11" s="31">
        <f>SUM(G5:G8,G10)</f>
        <v>323627578</v>
      </c>
      <c r="H11" s="31"/>
      <c r="I11" s="31">
        <f>SUM(I5:I8,I10)</f>
        <v>294166844</v>
      </c>
      <c r="J11" s="31"/>
      <c r="K11" s="31"/>
      <c r="L11" s="31">
        <f>SUM(L5:L8,L10)</f>
        <v>295052768</v>
      </c>
      <c r="M11" s="31"/>
      <c r="N11" s="31"/>
      <c r="O11" s="31">
        <f>SUM(O5:O8,O10)</f>
        <v>271874676</v>
      </c>
      <c r="P11" s="31"/>
      <c r="Q11" s="31"/>
      <c r="R11" s="31">
        <f t="shared" ref="R11:AG11" si="1">SUM(R5:R8,R10)</f>
        <v>258494568</v>
      </c>
      <c r="S11" s="31"/>
      <c r="T11" s="31"/>
      <c r="U11" s="31">
        <f t="shared" si="1"/>
        <v>272466958</v>
      </c>
      <c r="V11" s="31"/>
      <c r="W11" s="31"/>
      <c r="X11" s="31">
        <f t="shared" si="1"/>
        <v>270722532</v>
      </c>
      <c r="Y11" s="31"/>
      <c r="Z11" s="31"/>
      <c r="AA11" s="31">
        <f t="shared" si="1"/>
        <v>308121570</v>
      </c>
      <c r="AB11" s="31"/>
      <c r="AC11" s="31"/>
      <c r="AD11" s="31">
        <f t="shared" si="1"/>
        <v>307066268</v>
      </c>
      <c r="AE11" s="31"/>
      <c r="AF11" s="31"/>
      <c r="AG11" s="31">
        <f t="shared" si="1"/>
        <v>312169396</v>
      </c>
    </row>
    <row r="12" spans="1:34" ht="23.25" customHeight="1" x14ac:dyDescent="0.25">
      <c r="A12" s="49" t="s">
        <v>34</v>
      </c>
      <c r="B12" s="32" t="s">
        <v>14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</row>
    <row r="13" spans="1:34" ht="18.75" customHeight="1" x14ac:dyDescent="0.25">
      <c r="A13" s="50"/>
      <c r="B13" s="32" t="s">
        <v>22</v>
      </c>
      <c r="C13" s="28">
        <v>821</v>
      </c>
      <c r="D13" s="28">
        <v>2.7737725295214419</v>
      </c>
      <c r="E13" s="28">
        <v>628</v>
      </c>
      <c r="F13" s="28">
        <v>1</v>
      </c>
      <c r="G13" s="28">
        <v>1320</v>
      </c>
      <c r="H13" s="28">
        <v>1.3443871835088505E-3</v>
      </c>
      <c r="I13" s="28">
        <v>495</v>
      </c>
      <c r="J13" s="28"/>
      <c r="K13" s="28">
        <v>1</v>
      </c>
      <c r="L13" s="28">
        <v>536</v>
      </c>
      <c r="M13" s="28"/>
      <c r="N13" s="28">
        <v>1</v>
      </c>
      <c r="O13" s="28">
        <v>417</v>
      </c>
      <c r="P13" s="28"/>
      <c r="Q13" s="28">
        <v>9.5</v>
      </c>
      <c r="R13" s="28">
        <v>1112</v>
      </c>
      <c r="S13" s="28"/>
      <c r="T13" s="28">
        <v>860.33333333333337</v>
      </c>
      <c r="U13" s="28">
        <v>2325</v>
      </c>
      <c r="V13" s="28"/>
      <c r="W13" s="28">
        <v>1.2235159770794673E-4</v>
      </c>
      <c r="X13" s="28">
        <v>758</v>
      </c>
      <c r="Y13" s="28"/>
      <c r="Z13" s="28">
        <v>21.5</v>
      </c>
      <c r="AA13" s="28">
        <v>238</v>
      </c>
      <c r="AB13" s="28"/>
      <c r="AC13" s="28">
        <v>8.5736434108527124</v>
      </c>
      <c r="AD13" s="28">
        <v>88</v>
      </c>
      <c r="AE13" s="28"/>
      <c r="AF13" s="28">
        <v>0.20795660036166366</v>
      </c>
      <c r="AG13" s="28">
        <v>920</v>
      </c>
      <c r="AH13" s="34">
        <f>'2022'!D13/'2021'!AG13</f>
        <v>0.33369565217391306</v>
      </c>
    </row>
    <row r="14" spans="1:34" ht="17.25" customHeight="1" x14ac:dyDescent="0.25">
      <c r="A14" s="50"/>
      <c r="B14" s="32" t="s">
        <v>15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</row>
    <row r="15" spans="1:34" ht="19.5" customHeight="1" x14ac:dyDescent="0.25">
      <c r="A15" s="50"/>
      <c r="B15" s="32" t="s">
        <v>16</v>
      </c>
      <c r="C15" s="28">
        <v>4699</v>
      </c>
      <c r="D15" s="28">
        <v>0.948458904109589</v>
      </c>
      <c r="E15" s="28">
        <v>3283</v>
      </c>
      <c r="F15" s="28">
        <v>1</v>
      </c>
      <c r="G15" s="28">
        <v>2868</v>
      </c>
      <c r="H15" s="28">
        <v>0.33327315399891677</v>
      </c>
      <c r="I15" s="28">
        <v>2709</v>
      </c>
      <c r="J15" s="28"/>
      <c r="K15" s="28">
        <v>1.1906825568797399</v>
      </c>
      <c r="L15" s="28">
        <v>2248</v>
      </c>
      <c r="M15" s="28"/>
      <c r="N15" s="28">
        <v>1.0122838944494996</v>
      </c>
      <c r="O15" s="28">
        <v>2598</v>
      </c>
      <c r="P15" s="28"/>
      <c r="Q15" s="28">
        <v>1.1343820224719101</v>
      </c>
      <c r="R15" s="28">
        <v>2482</v>
      </c>
      <c r="S15" s="28"/>
      <c r="T15" s="28">
        <v>0.96001494768310924</v>
      </c>
      <c r="U15" s="28">
        <v>2518</v>
      </c>
      <c r="V15" s="28"/>
      <c r="W15" s="28">
        <v>0.86872987016351855</v>
      </c>
      <c r="X15" s="28">
        <v>2444</v>
      </c>
      <c r="Y15" s="28"/>
      <c r="Z15" s="28">
        <v>0.82280285035629452</v>
      </c>
      <c r="AA15" s="28">
        <v>1939</v>
      </c>
      <c r="AB15" s="28"/>
      <c r="AC15" s="28">
        <v>1.7084295612009237</v>
      </c>
      <c r="AD15" s="28">
        <v>2639</v>
      </c>
      <c r="AE15" s="28"/>
      <c r="AF15" s="28">
        <v>1.2903007772896249</v>
      </c>
      <c r="AG15" s="28">
        <v>2933</v>
      </c>
      <c r="AH15" s="34">
        <f>'2022'!D15/'2021'!AG15</f>
        <v>1.6784861916126832</v>
      </c>
    </row>
    <row r="16" spans="1:34" ht="17.25" customHeight="1" x14ac:dyDescent="0.25">
      <c r="A16" s="50"/>
      <c r="B16" s="32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</row>
    <row r="17" spans="1:34" ht="23.25" customHeight="1" x14ac:dyDescent="0.25">
      <c r="A17" s="51"/>
      <c r="B17" s="32" t="s">
        <v>24</v>
      </c>
      <c r="C17" s="28">
        <v>22756</v>
      </c>
      <c r="D17" s="28">
        <v>0.82986049007333218</v>
      </c>
      <c r="E17" s="28">
        <v>22107</v>
      </c>
      <c r="F17" s="28">
        <v>1</v>
      </c>
      <c r="G17" s="28">
        <v>22027</v>
      </c>
      <c r="H17" s="28">
        <v>0.8233741042082009</v>
      </c>
      <c r="I17" s="28">
        <v>15349</v>
      </c>
      <c r="J17" s="28"/>
      <c r="K17" s="28">
        <v>0.88992866958968653</v>
      </c>
      <c r="L17" s="28">
        <v>14156</v>
      </c>
      <c r="M17" s="28"/>
      <c r="N17" s="28">
        <v>1.1725862195749688</v>
      </c>
      <c r="O17" s="28">
        <v>12027</v>
      </c>
      <c r="P17" s="28"/>
      <c r="Q17" s="28">
        <v>0.6629875830929387</v>
      </c>
      <c r="R17" s="28">
        <v>8548</v>
      </c>
      <c r="S17" s="28"/>
      <c r="T17" s="28">
        <v>0.93334941308892105</v>
      </c>
      <c r="U17" s="28">
        <v>12015</v>
      </c>
      <c r="V17" s="28"/>
      <c r="W17" s="28">
        <v>1.2041709194860264</v>
      </c>
      <c r="X17" s="28">
        <v>11871</v>
      </c>
      <c r="Y17" s="28"/>
      <c r="Z17" s="28">
        <v>1.0951859956236323</v>
      </c>
      <c r="AA17" s="28">
        <v>11433</v>
      </c>
      <c r="AB17" s="28"/>
      <c r="AC17" s="28">
        <v>1.1720587105202489</v>
      </c>
      <c r="AD17" s="28">
        <v>20704</v>
      </c>
      <c r="AE17" s="28"/>
      <c r="AF17" s="28">
        <v>1.032520325203252</v>
      </c>
      <c r="AG17" s="28">
        <v>18945</v>
      </c>
      <c r="AH17" s="34">
        <f>'2022'!D17/'2021'!AG17</f>
        <v>1.2475059382422802</v>
      </c>
    </row>
    <row r="18" spans="1:34" ht="18.75" customHeight="1" x14ac:dyDescent="0.25">
      <c r="A18" s="55" t="s">
        <v>17</v>
      </c>
      <c r="B18" s="56"/>
      <c r="C18" s="31">
        <f t="shared" ref="C18:U18" si="2">SUM(C12:C15,C17)</f>
        <v>28276</v>
      </c>
      <c r="D18" s="31"/>
      <c r="E18" s="31">
        <f t="shared" si="2"/>
        <v>26018</v>
      </c>
      <c r="F18" s="31"/>
      <c r="G18" s="31">
        <f>SUM(G12:G15,G17)</f>
        <v>26215</v>
      </c>
      <c r="H18" s="31"/>
      <c r="I18" s="31">
        <f t="shared" si="2"/>
        <v>18553</v>
      </c>
      <c r="J18" s="31"/>
      <c r="K18" s="31"/>
      <c r="L18" s="31">
        <f t="shared" si="2"/>
        <v>16940</v>
      </c>
      <c r="M18" s="31"/>
      <c r="N18" s="31"/>
      <c r="O18" s="31">
        <f>SUM(O12:O15,O17)</f>
        <v>15042</v>
      </c>
      <c r="P18" s="31"/>
      <c r="Q18" s="31"/>
      <c r="R18" s="31">
        <f t="shared" si="2"/>
        <v>12142</v>
      </c>
      <c r="S18" s="31"/>
      <c r="T18" s="31"/>
      <c r="U18" s="31">
        <f t="shared" si="2"/>
        <v>16858</v>
      </c>
      <c r="V18" s="31"/>
      <c r="W18" s="31"/>
      <c r="X18" s="31">
        <f>SUM(X12:X15,X17)</f>
        <v>15073</v>
      </c>
      <c r="Y18" s="31"/>
      <c r="Z18" s="31"/>
      <c r="AA18" s="31">
        <f>SUM(AA12:AA15,AA17)</f>
        <v>13610</v>
      </c>
      <c r="AB18" s="31"/>
      <c r="AC18" s="31"/>
      <c r="AD18" s="31">
        <f>SUM(AD12:AD15,AD17)</f>
        <v>23431</v>
      </c>
      <c r="AE18" s="31"/>
      <c r="AF18" s="31"/>
      <c r="AG18" s="31">
        <f>SUM(AG12:AG15,AG17)</f>
        <v>22798</v>
      </c>
    </row>
    <row r="19" spans="1:34" x14ac:dyDescent="0.25">
      <c r="A19" s="49" t="s">
        <v>28</v>
      </c>
      <c r="B19" s="52" t="s">
        <v>18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4"/>
    </row>
    <row r="20" spans="1:34" x14ac:dyDescent="0.25">
      <c r="A20" s="50"/>
      <c r="B20" s="27" t="s">
        <v>14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</row>
    <row r="21" spans="1:34" x14ac:dyDescent="0.25">
      <c r="A21" s="50"/>
      <c r="B21" s="27" t="s">
        <v>22</v>
      </c>
      <c r="C21" s="28">
        <v>5969</v>
      </c>
      <c r="D21" s="28">
        <v>1.0525905726529021</v>
      </c>
      <c r="E21" s="28">
        <v>4212</v>
      </c>
      <c r="F21" s="28">
        <v>0.93153219837157664</v>
      </c>
      <c r="G21" s="28">
        <v>4576</v>
      </c>
      <c r="H21" s="28">
        <v>1.0254270957489073</v>
      </c>
      <c r="I21" s="28">
        <v>5077</v>
      </c>
      <c r="J21" s="28"/>
      <c r="K21" s="28">
        <v>0.95195660596667964</v>
      </c>
      <c r="L21" s="28">
        <v>5204</v>
      </c>
      <c r="M21" s="28"/>
      <c r="N21" s="28">
        <v>1.0641025641025641</v>
      </c>
      <c r="O21" s="28">
        <v>5318</v>
      </c>
      <c r="P21" s="28"/>
      <c r="Q21" s="28">
        <v>0.98355326066169435</v>
      </c>
      <c r="R21" s="28">
        <v>5231</v>
      </c>
      <c r="S21" s="28"/>
      <c r="T21" s="28">
        <v>1.052109663620455</v>
      </c>
      <c r="U21" s="28">
        <v>5449</v>
      </c>
      <c r="V21" s="28"/>
      <c r="W21" s="28">
        <v>0.89890962853446688</v>
      </c>
      <c r="X21" s="28">
        <v>5216</v>
      </c>
      <c r="Y21" s="28"/>
      <c r="Z21" s="28">
        <v>0.97512335526315785</v>
      </c>
      <c r="AA21" s="28">
        <v>5016</v>
      </c>
      <c r="AB21" s="28"/>
      <c r="AC21" s="28">
        <v>1.076112165296226</v>
      </c>
      <c r="AD21" s="28">
        <v>5177</v>
      </c>
      <c r="AE21" s="28"/>
      <c r="AF21" s="28">
        <v>0.86010971786833856</v>
      </c>
      <c r="AG21" s="28">
        <v>4342</v>
      </c>
      <c r="AH21" s="34">
        <f>'2022'!D21/'2021'!AG21</f>
        <v>1.2139567019806541</v>
      </c>
    </row>
    <row r="22" spans="1:34" x14ac:dyDescent="0.25">
      <c r="A22" s="50"/>
      <c r="B22" s="27" t="s">
        <v>15</v>
      </c>
      <c r="C22" s="28">
        <v>204442</v>
      </c>
      <c r="D22" s="28">
        <v>0</v>
      </c>
      <c r="E22" s="28">
        <v>142262</v>
      </c>
      <c r="F22" s="28">
        <v>0.94065707736770421</v>
      </c>
      <c r="G22" s="28">
        <v>140511</v>
      </c>
      <c r="H22" s="28">
        <v>0.63408742575026666</v>
      </c>
      <c r="I22" s="28">
        <v>92254</v>
      </c>
      <c r="K22" s="23">
        <v>0.85731153092140433</v>
      </c>
      <c r="L22" s="28">
        <v>82228</v>
      </c>
      <c r="M22" s="28"/>
      <c r="N22" s="28">
        <v>0.78804926850817247</v>
      </c>
      <c r="O22" s="28">
        <v>78357</v>
      </c>
      <c r="P22" s="28"/>
      <c r="Q22" s="28">
        <v>0.87255370715380942</v>
      </c>
      <c r="R22" s="28">
        <v>72037</v>
      </c>
      <c r="S22" s="28"/>
      <c r="T22" s="28">
        <v>1.0590669463182358</v>
      </c>
      <c r="U22" s="28">
        <v>110524</v>
      </c>
      <c r="V22" s="28"/>
      <c r="W22" s="28">
        <v>1.3481061214294634</v>
      </c>
      <c r="X22" s="28">
        <v>174720</v>
      </c>
      <c r="Y22" s="28"/>
      <c r="Z22" s="28">
        <v>1.5648755955532028</v>
      </c>
      <c r="AA22" s="28">
        <v>297662</v>
      </c>
      <c r="AB22" s="28"/>
      <c r="AC22" s="28">
        <v>1.0920400534497048</v>
      </c>
      <c r="AD22" s="28">
        <v>332356</v>
      </c>
      <c r="AE22" s="28"/>
      <c r="AF22" s="28">
        <v>1.6311248789932236</v>
      </c>
      <c r="AG22" s="28">
        <v>435163</v>
      </c>
      <c r="AH22" s="34">
        <f>'2022'!D22/'2021'!AG22</f>
        <v>1.1565918977486598</v>
      </c>
    </row>
    <row r="23" spans="1:34" ht="15" customHeight="1" x14ac:dyDescent="0.25">
      <c r="A23" s="50"/>
      <c r="B23" s="27" t="s">
        <v>16</v>
      </c>
      <c r="C23" s="28">
        <v>206537</v>
      </c>
      <c r="D23" s="28">
        <v>0.91114141584803654</v>
      </c>
      <c r="E23" s="28">
        <v>196177</v>
      </c>
      <c r="F23" s="28">
        <v>0.80822262546523793</v>
      </c>
      <c r="G23" s="28">
        <v>169562</v>
      </c>
      <c r="H23" s="28">
        <v>0.60508030154047854</v>
      </c>
      <c r="I23" s="28">
        <v>138046</v>
      </c>
      <c r="J23" s="28"/>
      <c r="K23" s="28">
        <v>0.65792752288608414</v>
      </c>
      <c r="L23" s="28">
        <v>107952</v>
      </c>
      <c r="M23" s="28"/>
      <c r="N23" s="28">
        <v>0.29034249958834185</v>
      </c>
      <c r="O23" s="28">
        <v>50679</v>
      </c>
      <c r="P23" s="28"/>
      <c r="Q23" s="28">
        <v>0.90543031334184032</v>
      </c>
      <c r="R23" s="28">
        <v>38491</v>
      </c>
      <c r="S23" s="28"/>
      <c r="T23" s="28">
        <v>1.0281866583150643</v>
      </c>
      <c r="U23" s="28">
        <v>52245</v>
      </c>
      <c r="V23" s="28"/>
      <c r="W23" s="28">
        <v>2.5312214438014013</v>
      </c>
      <c r="X23" s="28">
        <v>97311</v>
      </c>
      <c r="Y23" s="28"/>
      <c r="Z23" s="28">
        <v>2.5783393501805052</v>
      </c>
      <c r="AA23" s="28">
        <v>143676</v>
      </c>
      <c r="AB23" s="28"/>
      <c r="AC23" s="28">
        <v>1.3350835433585364</v>
      </c>
      <c r="AD23" s="28">
        <v>181566</v>
      </c>
      <c r="AE23" s="28"/>
      <c r="AF23" s="28">
        <v>2.736431805072451</v>
      </c>
      <c r="AG23" s="28">
        <v>198274</v>
      </c>
      <c r="AH23" s="34">
        <f>'2022'!D23/'2021'!AG23</f>
        <v>1.2560446654629451</v>
      </c>
    </row>
    <row r="24" spans="1:34" x14ac:dyDescent="0.25">
      <c r="A24" s="50"/>
      <c r="B24" s="52" t="s">
        <v>24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4"/>
    </row>
    <row r="25" spans="1:34" x14ac:dyDescent="0.25">
      <c r="A25" s="50"/>
      <c r="B25" s="29"/>
      <c r="C25" s="28">
        <v>936226</v>
      </c>
      <c r="D25" s="28">
        <v>0.94508223077014686</v>
      </c>
      <c r="E25" s="28">
        <v>878566</v>
      </c>
      <c r="F25" s="28">
        <v>0.75124591258765494</v>
      </c>
      <c r="G25" s="28">
        <v>768813</v>
      </c>
      <c r="H25" s="28">
        <v>0.8174224443754875</v>
      </c>
      <c r="I25" s="28">
        <v>607239</v>
      </c>
      <c r="J25" s="28"/>
      <c r="K25" s="28">
        <v>0.83614967117075523</v>
      </c>
      <c r="L25" s="28">
        <v>474607</v>
      </c>
      <c r="M25" s="28"/>
      <c r="N25" s="28">
        <v>0.780409094813306</v>
      </c>
      <c r="O25" s="28">
        <v>342865</v>
      </c>
      <c r="P25" s="28"/>
      <c r="Q25" s="28">
        <v>0.76012955771135671</v>
      </c>
      <c r="R25" s="28">
        <v>181643</v>
      </c>
      <c r="S25" s="28"/>
      <c r="T25" s="28">
        <v>1.2159065053263005</v>
      </c>
      <c r="U25" s="28">
        <v>438206</v>
      </c>
      <c r="V25" s="28"/>
      <c r="W25" s="28">
        <v>1.16426517870813</v>
      </c>
      <c r="X25" s="28">
        <v>359357</v>
      </c>
      <c r="Y25" s="28"/>
      <c r="Z25" s="28">
        <v>1.5572115314367538</v>
      </c>
      <c r="AA25" s="28">
        <v>673136</v>
      </c>
      <c r="AB25" s="28"/>
      <c r="AC25" s="28">
        <v>3.9768142323643665</v>
      </c>
      <c r="AD25" s="28">
        <v>872308.99999999988</v>
      </c>
      <c r="AE25" s="28"/>
      <c r="AF25" s="28">
        <v>1.5168406771662832</v>
      </c>
      <c r="AG25" s="28">
        <v>994750</v>
      </c>
      <c r="AH25" s="34">
        <f>'2022'!D25/'2021'!AG25</f>
        <v>1.3866800703694395</v>
      </c>
    </row>
    <row r="26" spans="1:34" x14ac:dyDescent="0.25">
      <c r="A26" s="51"/>
      <c r="B26" s="30" t="s">
        <v>17</v>
      </c>
      <c r="C26" s="31">
        <f t="shared" ref="C26:I26" si="3">SUM(C20:C23,C25)</f>
        <v>1353174</v>
      </c>
      <c r="D26" s="31"/>
      <c r="E26" s="31">
        <f>SUM(E20:E23,E25)</f>
        <v>1221217</v>
      </c>
      <c r="F26" s="31"/>
      <c r="G26" s="31">
        <f>SUM(G20:G23,G25)</f>
        <v>1083462</v>
      </c>
      <c r="H26" s="31"/>
      <c r="I26" s="31">
        <f t="shared" si="3"/>
        <v>842616</v>
      </c>
      <c r="J26" s="31"/>
      <c r="K26" s="31"/>
      <c r="L26" s="31">
        <f>SUM(L20:L23,L25)</f>
        <v>669991</v>
      </c>
      <c r="M26" s="31"/>
      <c r="N26" s="31"/>
      <c r="O26" s="31">
        <f t="shared" ref="O26:AG26" si="4">SUM(O20:O23,O25)</f>
        <v>477219</v>
      </c>
      <c r="P26" s="31"/>
      <c r="Q26" s="31"/>
      <c r="R26" s="31">
        <f t="shared" si="4"/>
        <v>297402</v>
      </c>
      <c r="S26" s="31"/>
      <c r="T26" s="31"/>
      <c r="U26" s="31">
        <f t="shared" si="4"/>
        <v>606424</v>
      </c>
      <c r="V26" s="31"/>
      <c r="W26" s="31"/>
      <c r="X26" s="31">
        <f t="shared" si="4"/>
        <v>636604</v>
      </c>
      <c r="Y26" s="31"/>
      <c r="Z26" s="31"/>
      <c r="AA26" s="31">
        <f>SUM(AA20:AA23,AA25)</f>
        <v>1119490</v>
      </c>
      <c r="AB26" s="31"/>
      <c r="AC26" s="31"/>
      <c r="AD26" s="31">
        <f t="shared" si="4"/>
        <v>1391408</v>
      </c>
      <c r="AE26" s="31"/>
      <c r="AF26" s="31"/>
      <c r="AG26" s="31">
        <f t="shared" si="4"/>
        <v>1632529</v>
      </c>
    </row>
    <row r="27" spans="1:34" x14ac:dyDescent="0.25">
      <c r="A27" s="49" t="s">
        <v>33</v>
      </c>
      <c r="B27" s="52" t="s">
        <v>18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4"/>
    </row>
    <row r="28" spans="1:34" x14ac:dyDescent="0.25">
      <c r="A28" s="50"/>
      <c r="B28" s="27" t="s">
        <v>14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4" x14ac:dyDescent="0.25">
      <c r="A29" s="50"/>
      <c r="B29" s="27" t="s">
        <v>22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4" x14ac:dyDescent="0.25">
      <c r="A30" s="50"/>
      <c r="B30" s="27" t="s">
        <v>15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4" ht="15" customHeight="1" x14ac:dyDescent="0.25">
      <c r="A31" s="50"/>
      <c r="B31" s="27" t="s">
        <v>16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4" x14ac:dyDescent="0.25">
      <c r="A32" s="50"/>
      <c r="B32" s="52" t="s">
        <v>24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4"/>
    </row>
    <row r="33" spans="1:33" x14ac:dyDescent="0.25">
      <c r="A33" s="50"/>
      <c r="B33" s="29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x14ac:dyDescent="0.25">
      <c r="A34" s="51"/>
      <c r="B34" s="30" t="s">
        <v>17</v>
      </c>
      <c r="C34" s="31">
        <f t="shared" ref="C34:I34" si="5">SUM(C28:C31,C33)</f>
        <v>0</v>
      </c>
      <c r="D34" s="31"/>
      <c r="E34" s="31">
        <f t="shared" si="5"/>
        <v>0</v>
      </c>
      <c r="F34" s="31"/>
      <c r="G34" s="31">
        <f>SUM(G28:G31,G33)</f>
        <v>0</v>
      </c>
      <c r="H34" s="31"/>
      <c r="I34" s="31">
        <f t="shared" si="5"/>
        <v>0</v>
      </c>
      <c r="J34" s="31"/>
      <c r="K34" s="31"/>
      <c r="L34" s="31">
        <f>SUM(L28:L31,L33)</f>
        <v>0</v>
      </c>
      <c r="M34" s="31"/>
      <c r="N34" s="31"/>
      <c r="O34" s="31">
        <f>SUM(O28:O31,O33)</f>
        <v>0</v>
      </c>
      <c r="P34" s="31"/>
      <c r="Q34" s="31"/>
      <c r="R34" s="31">
        <f>SUM(R28:R31,R33)</f>
        <v>0</v>
      </c>
      <c r="S34" s="31"/>
      <c r="T34" s="31"/>
      <c r="U34" s="31">
        <f>SUM(U28:U31,U33)</f>
        <v>0</v>
      </c>
      <c r="V34" s="31"/>
      <c r="W34" s="31"/>
      <c r="X34" s="31">
        <f t="shared" ref="X34" si="6">SUM(X28:X31,X33)</f>
        <v>0</v>
      </c>
      <c r="Y34" s="31"/>
      <c r="Z34" s="31"/>
      <c r="AA34" s="31">
        <f>SUM(AA28:AA31,AA33)</f>
        <v>0</v>
      </c>
      <c r="AB34" s="31"/>
      <c r="AC34" s="31"/>
      <c r="AD34" s="31">
        <f t="shared" ref="AD34:AG34" si="7">SUM(AD28:AD31,AD33)</f>
        <v>0</v>
      </c>
      <c r="AE34" s="31"/>
      <c r="AF34" s="31"/>
      <c r="AG34" s="31">
        <f t="shared" si="7"/>
        <v>0</v>
      </c>
    </row>
  </sheetData>
  <mergeCells count="12">
    <mergeCell ref="A18:B18"/>
    <mergeCell ref="A2:AG2"/>
    <mergeCell ref="A4:A11"/>
    <mergeCell ref="B4:AG4"/>
    <mergeCell ref="B9:AG9"/>
    <mergeCell ref="A12:A17"/>
    <mergeCell ref="A19:A26"/>
    <mergeCell ref="B19:AG19"/>
    <mergeCell ref="B24:AG24"/>
    <mergeCell ref="A27:A34"/>
    <mergeCell ref="B27:AG27"/>
    <mergeCell ref="B32:AG32"/>
  </mergeCells>
  <pageMargins left="0.11811023622047245" right="0.11811023622047245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2013 </vt:lpstr>
      <vt:lpstr>2014</vt:lpstr>
      <vt:lpstr>2015 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Наталья Анатольевна</dc:creator>
  <cp:lastModifiedBy>Сафронова Ольга Харитоновна</cp:lastModifiedBy>
  <cp:lastPrinted>2021-08-20T11:27:13Z</cp:lastPrinted>
  <dcterms:created xsi:type="dcterms:W3CDTF">2013-11-13T16:10:49Z</dcterms:created>
  <dcterms:modified xsi:type="dcterms:W3CDTF">2025-01-20T08:03:00Z</dcterms:modified>
</cp:coreProperties>
</file>