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-15" yWindow="-165" windowWidth="25215" windowHeight="724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11" i="16" l="1"/>
  <c r="M11" i="16"/>
  <c r="L11" i="16"/>
  <c r="K11" i="16"/>
  <c r="J11" i="16"/>
  <c r="I11" i="16"/>
  <c r="H11" i="16"/>
  <c r="G11" i="16"/>
  <c r="F11" i="16"/>
  <c r="E11" i="16"/>
  <c r="D11" i="16"/>
  <c r="C11" i="16"/>
  <c r="C11" i="15" l="1"/>
  <c r="AH10" i="13"/>
  <c r="AH8" i="13"/>
  <c r="AH7" i="13"/>
  <c r="AH6" i="13"/>
  <c r="AH5" i="13"/>
  <c r="L11" i="15"/>
  <c r="K11" i="15"/>
  <c r="H11" i="15"/>
  <c r="G11" i="15"/>
  <c r="D11" i="15"/>
  <c r="N11" i="15"/>
  <c r="M11" i="15"/>
  <c r="J11" i="15"/>
  <c r="I11" i="15"/>
  <c r="F11" i="15"/>
  <c r="E11" i="15"/>
  <c r="AR5" i="14" l="1"/>
  <c r="AN7" i="14" l="1"/>
  <c r="AN5" i="14"/>
  <c r="AJ7" i="14" l="1"/>
  <c r="AJ5" i="14"/>
  <c r="AF5" i="14" l="1"/>
  <c r="AB5" i="14" l="1"/>
  <c r="X5" i="14" l="1"/>
  <c r="T5" i="14" l="1"/>
  <c r="AH9" i="13" l="1"/>
  <c r="Q5" i="14" l="1"/>
  <c r="M5" i="14" l="1"/>
  <c r="J5" i="14" l="1"/>
  <c r="G5" i="14" l="1"/>
  <c r="D5" i="14" l="1"/>
  <c r="D11" i="14" l="1"/>
  <c r="W10" i="12"/>
  <c r="W8" i="12"/>
  <c r="W7" i="12"/>
  <c r="W6" i="12"/>
  <c r="W5" i="12"/>
  <c r="AR11" i="14"/>
  <c r="AN11" i="14"/>
  <c r="AJ11" i="14"/>
  <c r="AF11" i="14"/>
  <c r="AB11" i="14"/>
  <c r="X11" i="14"/>
  <c r="T11" i="14"/>
  <c r="Q11" i="14"/>
  <c r="M11" i="14"/>
  <c r="J11" i="14"/>
  <c r="G11" i="14"/>
  <c r="AG5" i="13" l="1"/>
  <c r="AD5" i="13" l="1"/>
  <c r="AA5" i="13"/>
  <c r="X5" i="13"/>
  <c r="U5" i="13"/>
  <c r="R5" i="13"/>
  <c r="O5" i="13"/>
  <c r="L5" i="13"/>
  <c r="I5" i="13"/>
  <c r="G5" i="13"/>
  <c r="E5" i="13"/>
  <c r="C5" i="13"/>
  <c r="AG11" i="13"/>
  <c r="AD11" i="13"/>
  <c r="AA11" i="13"/>
  <c r="X11" i="13"/>
  <c r="U11" i="13"/>
  <c r="R11" i="13"/>
  <c r="O11" i="13"/>
  <c r="L11" i="13"/>
  <c r="I11" i="13"/>
  <c r="G11" i="13"/>
  <c r="E11" i="13"/>
  <c r="C11" i="13"/>
  <c r="V5" i="12"/>
  <c r="P10" i="11"/>
  <c r="P8" i="11"/>
  <c r="P7" i="11"/>
  <c r="P6" i="11"/>
  <c r="T5" i="12"/>
  <c r="R5" i="12"/>
  <c r="O10" i="11"/>
  <c r="O8" i="11"/>
  <c r="O7" i="11"/>
  <c r="O6" i="11"/>
  <c r="P5" i="12"/>
  <c r="N5" i="12"/>
  <c r="L5" i="12"/>
  <c r="J5" i="12"/>
  <c r="H5" i="12"/>
  <c r="F5" i="12"/>
  <c r="E5" i="12"/>
  <c r="D5" i="12"/>
  <c r="Q6" i="11"/>
  <c r="Q7" i="11"/>
  <c r="Q8" i="11"/>
  <c r="Q10" i="11"/>
  <c r="C5" i="12"/>
  <c r="V11" i="12"/>
  <c r="T11" i="12"/>
  <c r="R11" i="12"/>
  <c r="P11" i="12"/>
  <c r="N11" i="12"/>
  <c r="L11" i="12"/>
  <c r="J11" i="12"/>
  <c r="H11" i="12"/>
  <c r="F11" i="12"/>
  <c r="E11" i="12"/>
  <c r="D11" i="12"/>
  <c r="C11" i="12"/>
  <c r="N5" i="11"/>
  <c r="M5" i="11"/>
  <c r="P5" i="11"/>
  <c r="L5" i="11"/>
  <c r="K5" i="11"/>
  <c r="O5" i="11"/>
  <c r="J5" i="11"/>
  <c r="I5" i="11"/>
  <c r="H5" i="11"/>
  <c r="G5" i="11"/>
  <c r="F5" i="11"/>
  <c r="E5" i="11"/>
  <c r="D5" i="11"/>
  <c r="C5" i="11"/>
  <c r="Q5" i="11"/>
  <c r="N11" i="11"/>
  <c r="M11" i="11"/>
  <c r="K11" i="11"/>
  <c r="J11" i="11"/>
  <c r="I11" i="11"/>
  <c r="G11" i="11"/>
  <c r="F11" i="11"/>
  <c r="E11" i="11"/>
  <c r="L11" i="11"/>
  <c r="H11" i="11"/>
  <c r="D11" i="11"/>
  <c r="C11" i="11"/>
  <c r="N5" i="10"/>
  <c r="M5" i="10"/>
  <c r="L5" i="10"/>
  <c r="K5" i="10"/>
  <c r="J5" i="10"/>
  <c r="I5" i="10"/>
  <c r="G5" i="10"/>
  <c r="F5" i="10"/>
  <c r="D5" i="10"/>
  <c r="C5" i="10"/>
  <c r="N5" i="9"/>
  <c r="M5" i="9"/>
  <c r="L5" i="9"/>
  <c r="J5" i="9"/>
  <c r="H5" i="10"/>
  <c r="D7" i="10"/>
  <c r="D11" i="10"/>
  <c r="C8" i="10"/>
  <c r="C7" i="10"/>
  <c r="K11" i="10"/>
  <c r="J11" i="10"/>
  <c r="I11" i="10"/>
  <c r="H11" i="10"/>
  <c r="G11" i="10"/>
  <c r="F11" i="10"/>
  <c r="E11" i="10"/>
  <c r="N11" i="10"/>
  <c r="M11" i="10"/>
  <c r="L11" i="10"/>
  <c r="C11" i="10"/>
  <c r="N8" i="9"/>
  <c r="N7" i="9"/>
  <c r="N6" i="9"/>
  <c r="N11" i="9"/>
  <c r="K11" i="9"/>
  <c r="J11" i="9"/>
  <c r="I11" i="9"/>
  <c r="H11" i="9"/>
  <c r="G11" i="9"/>
  <c r="F11" i="9"/>
  <c r="M8" i="9"/>
  <c r="M7" i="9"/>
  <c r="M11" i="9"/>
  <c r="L7" i="9"/>
  <c r="L8" i="9"/>
  <c r="L11" i="9"/>
  <c r="E5" i="9"/>
  <c r="E11" i="9"/>
  <c r="D5" i="9"/>
  <c r="D11" i="9"/>
  <c r="C5" i="9"/>
  <c r="C11" i="9"/>
  <c r="D12" i="8"/>
  <c r="E12" i="8"/>
  <c r="F12" i="8"/>
  <c r="G12" i="8"/>
  <c r="H12" i="8"/>
  <c r="I12" i="8"/>
  <c r="J12" i="8"/>
  <c r="K12" i="8"/>
  <c r="L12" i="8"/>
  <c r="M12" i="8"/>
  <c r="N12" i="8"/>
  <c r="C12" i="8"/>
  <c r="L11" i="7"/>
  <c r="L12" i="7"/>
  <c r="H11" i="7"/>
  <c r="C11" i="7"/>
  <c r="C12" i="7"/>
  <c r="N11" i="7"/>
  <c r="N12" i="7"/>
  <c r="M11" i="7"/>
  <c r="M12" i="7"/>
  <c r="K11" i="7"/>
  <c r="K12" i="7"/>
  <c r="J11" i="7"/>
  <c r="J12" i="7"/>
  <c r="I11" i="7"/>
  <c r="I12" i="7"/>
  <c r="H12" i="7"/>
  <c r="G11" i="7"/>
  <c r="G12" i="7"/>
  <c r="F11" i="7"/>
  <c r="F12" i="7"/>
  <c r="E11" i="7"/>
  <c r="E12" i="7"/>
  <c r="D11" i="7"/>
  <c r="D12" i="7"/>
  <c r="D11" i="5"/>
  <c r="E11" i="5"/>
  <c r="F11" i="5"/>
  <c r="G11" i="5"/>
  <c r="H11" i="5"/>
  <c r="I11" i="5"/>
  <c r="J11" i="5"/>
  <c r="K11" i="5"/>
  <c r="L11" i="5"/>
  <c r="M11" i="5"/>
  <c r="N11" i="5"/>
  <c r="C11" i="5"/>
  <c r="D11" i="6"/>
  <c r="E11" i="6"/>
  <c r="F11" i="6"/>
  <c r="G11" i="6"/>
  <c r="H11" i="6"/>
  <c r="I11" i="6"/>
  <c r="J11" i="6"/>
  <c r="K11" i="6"/>
  <c r="L11" i="6"/>
  <c r="M11" i="6"/>
  <c r="N11" i="6"/>
  <c r="C11" i="6"/>
  <c r="C12" i="5"/>
  <c r="C12" i="6"/>
  <c r="N12" i="6"/>
  <c r="M12" i="6"/>
  <c r="L12" i="6"/>
  <c r="K12" i="6"/>
  <c r="J12" i="6"/>
  <c r="I12" i="6"/>
  <c r="H12" i="6"/>
  <c r="G12" i="6"/>
  <c r="F12" i="6"/>
  <c r="E12" i="6"/>
  <c r="D12" i="6"/>
  <c r="N12" i="5"/>
  <c r="M12" i="5"/>
  <c r="L12" i="5"/>
  <c r="K12" i="5"/>
  <c r="J12" i="5"/>
  <c r="I12" i="5"/>
  <c r="H12" i="5"/>
  <c r="G12" i="5"/>
  <c r="F12" i="5"/>
  <c r="E12" i="5"/>
  <c r="D12" i="5"/>
</calcChain>
</file>

<file path=xl/comments1.xml><?xml version="1.0" encoding="utf-8"?>
<comments xmlns="http://schemas.openxmlformats.org/spreadsheetml/2006/main">
  <authors>
    <author>Ермакова Наталья Юрьевна</author>
  </authors>
  <commentLis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ИТОГО ПО АОУ</t>
        </r>
      </text>
    </comment>
  </commentList>
</comments>
</file>

<file path=xl/comments2.xml><?xml version="1.0" encoding="utf-8"?>
<comments xmlns="http://schemas.openxmlformats.org/spreadsheetml/2006/main">
  <authors>
    <author>Ермакова Наталья Юрьевна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ИТОГО ПО АОУ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ИТОГО ПО АОУ</t>
        </r>
      </text>
    </comment>
  </commentList>
</comments>
</file>

<file path=xl/sharedStrings.xml><?xml version="1.0" encoding="utf-8"?>
<sst xmlns="http://schemas.openxmlformats.org/spreadsheetml/2006/main" count="284" uniqueCount="38">
  <si>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</si>
  <si>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</si>
  <si>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</si>
  <si>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</si>
  <si>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</si>
  <si>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</si>
  <si>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</si>
  <si>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</si>
  <si>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</si>
  <si>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</si>
  <si>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</si>
  <si>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</si>
  <si>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</si>
  <si>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</si>
  <si>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</si>
  <si>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</si>
  <si>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</si>
  <si>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</si>
  <si>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</si>
  <si>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МВтч</t>
  </si>
  <si>
    <t>Население, МВтч</t>
  </si>
  <si>
    <t>МРСК Центра - филиал "Смоленскэнерго"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</si>
  <si>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</si>
  <si>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</si>
  <si>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2013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</si>
  <si>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</si>
  <si>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</si>
  <si>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</si>
  <si>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</si>
  <si>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</si>
  <si>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</si>
  <si>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2020 год</t>
  </si>
  <si>
    <t>Филиал ПАО "МРСК Центра" -  "Смоленскэнерго"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</si>
  <si>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2021 год</t>
  </si>
  <si>
    <t>филиал ПАО "Россети Центр" -  "Смоленскэнерго"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</si>
  <si>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</si>
  <si>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</si>
  <si>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Смоленской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</si>
</sst>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0" xfId="0" applyNumberFormat="1" applyFont="1"/>
    <xf numFmtId="0" fontId="2" fillId="0" borderId="0" xfId="0" applyFont="1" applyBorder="1"/>
    <xf numFmtId="165" fontId="8" fillId="0" borderId="0" xfId="0" applyNumberFormat="1" applyFont="1" applyFill="1" applyBorder="1"/>
    <xf numFmtId="4" fontId="2" fillId="0" borderId="0" xfId="0" applyNumberFormat="1" applyFont="1" applyBorder="1"/>
    <xf numFmtId="0" fontId="9" fillId="0" borderId="0" xfId="0" applyFont="1" applyBorder="1"/>
    <xf numFmtId="4" fontId="9" fillId="0" borderId="0" xfId="0" applyNumberFormat="1" applyFont="1" applyBorder="1"/>
    <xf numFmtId="165" fontId="2" fillId="0" borderId="0" xfId="0" applyNumberFormat="1" applyFont="1" applyBorder="1"/>
    <xf numFmtId="3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/>
    <xf numFmtId="0" fontId="10" fillId="0" borderId="0" xfId="0" applyFont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3" fillId="0" borderId="6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Border="1"/>
    <xf numFmtId="3" fontId="1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19" sqref="D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21</v>
      </c>
      <c r="B4" s="39" t="s">
        <v>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2.5" customHeight="1" x14ac:dyDescent="0.25">
      <c r="A5" s="37"/>
      <c r="B5" s="4" t="s">
        <v>14</v>
      </c>
      <c r="C5" s="3">
        <v>29509400</v>
      </c>
      <c r="D5" s="3">
        <v>25775841</v>
      </c>
      <c r="E5" s="3">
        <v>29534995</v>
      </c>
      <c r="F5" s="3">
        <v>25986184</v>
      </c>
      <c r="G5" s="3">
        <v>22990969</v>
      </c>
      <c r="H5" s="3">
        <v>21989826</v>
      </c>
      <c r="I5" s="3">
        <v>22516404</v>
      </c>
      <c r="J5" s="3">
        <v>23733346</v>
      </c>
      <c r="K5" s="3">
        <v>22421704</v>
      </c>
      <c r="L5" s="3">
        <v>25267552</v>
      </c>
      <c r="M5" s="3">
        <v>26282784</v>
      </c>
      <c r="N5" s="3">
        <v>28947697</v>
      </c>
    </row>
    <row r="6" spans="1:14" ht="22.5" customHeight="1" x14ac:dyDescent="0.25">
      <c r="A6" s="37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9" t="s">
        <v>20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22.5" customHeight="1" x14ac:dyDescent="0.25">
      <c r="A10" s="37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8"/>
      <c r="B11" s="5" t="s">
        <v>18</v>
      </c>
      <c r="C11" s="3">
        <f t="shared" ref="C11:N11" si="0">SUM(C5:C8,C10)</f>
        <v>29509400</v>
      </c>
      <c r="D11" s="3">
        <f t="shared" si="0"/>
        <v>25775841</v>
      </c>
      <c r="E11" s="3">
        <f t="shared" si="0"/>
        <v>29534995</v>
      </c>
      <c r="F11" s="3">
        <f t="shared" si="0"/>
        <v>25986184</v>
      </c>
      <c r="G11" s="3">
        <f t="shared" si="0"/>
        <v>22990969</v>
      </c>
      <c r="H11" s="3">
        <f t="shared" si="0"/>
        <v>21989826</v>
      </c>
      <c r="I11" s="3">
        <f t="shared" si="0"/>
        <v>22516404</v>
      </c>
      <c r="J11" s="3">
        <f t="shared" si="0"/>
        <v>23733346</v>
      </c>
      <c r="K11" s="3">
        <f t="shared" si="0"/>
        <v>22421704</v>
      </c>
      <c r="L11" s="3">
        <f t="shared" si="0"/>
        <v>25267552</v>
      </c>
      <c r="M11" s="3">
        <f t="shared" si="0"/>
        <v>26282784</v>
      </c>
      <c r="N11" s="3">
        <f t="shared" si="0"/>
        <v>28947697</v>
      </c>
    </row>
    <row r="12" spans="1:14" ht="22.5" customHeight="1" x14ac:dyDescent="0.25">
      <c r="A12" s="42" t="s">
        <v>18</v>
      </c>
      <c r="B12" s="43"/>
      <c r="C12" s="9">
        <f>C11</f>
        <v>29509400</v>
      </c>
      <c r="D12" s="9">
        <f t="shared" ref="D12:N12" si="1">D11</f>
        <v>25775841</v>
      </c>
      <c r="E12" s="9">
        <f t="shared" si="1"/>
        <v>29534995</v>
      </c>
      <c r="F12" s="9">
        <f t="shared" si="1"/>
        <v>25986184</v>
      </c>
      <c r="G12" s="9">
        <f t="shared" si="1"/>
        <v>22990969</v>
      </c>
      <c r="H12" s="9">
        <f t="shared" si="1"/>
        <v>21989826</v>
      </c>
      <c r="I12" s="9">
        <f t="shared" si="1"/>
        <v>22516404</v>
      </c>
      <c r="J12" s="9">
        <f t="shared" si="1"/>
        <v>23733346</v>
      </c>
      <c r="K12" s="9">
        <f t="shared" si="1"/>
        <v>22421704</v>
      </c>
      <c r="L12" s="9">
        <f t="shared" si="1"/>
        <v>25267552</v>
      </c>
      <c r="M12" s="9">
        <f t="shared" si="1"/>
        <v>26282784</v>
      </c>
      <c r="N12" s="9">
        <f t="shared" si="1"/>
        <v>28947697</v>
      </c>
    </row>
  </sheetData>
  <mergeCells count="5">
    <mergeCell ref="A2:N2"/>
    <mergeCell ref="A4:A11"/>
    <mergeCell ref="B4:N4"/>
    <mergeCell ref="A12:B12"/>
    <mergeCell ref="B9:N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1"/>
  <sheetViews>
    <sheetView zoomScale="70" zoomScaleNormal="70" workbookViewId="0">
      <selection activeCell="AS5" sqref="AS5:AS10"/>
    </sheetView>
  </sheetViews>
  <sheetFormatPr defaultColWidth="9.140625" defaultRowHeight="15" x14ac:dyDescent="0.25"/>
  <cols>
    <col min="1" max="1" width="24.85546875" style="1" customWidth="1"/>
    <col min="2" max="2" width="20.140625" style="1" customWidth="1"/>
    <col min="3" max="3" width="20.140625" style="1" hidden="1" customWidth="1"/>
    <col min="4" max="4" width="19.140625" style="1" customWidth="1"/>
    <col min="5" max="6" width="19.140625" style="1" hidden="1" customWidth="1"/>
    <col min="7" max="7" width="19.140625" style="1" customWidth="1"/>
    <col min="8" max="9" width="19.140625" style="1" hidden="1" customWidth="1"/>
    <col min="10" max="10" width="19.140625" style="1" customWidth="1"/>
    <col min="11" max="12" width="19.140625" style="1" hidden="1" customWidth="1"/>
    <col min="13" max="13" width="19.140625" style="1" customWidth="1"/>
    <col min="14" max="16" width="19.140625" style="1" hidden="1" customWidth="1"/>
    <col min="17" max="17" width="19.140625" style="1" customWidth="1"/>
    <col min="18" max="19" width="19.140625" style="1" hidden="1" customWidth="1"/>
    <col min="20" max="20" width="19.140625" style="1" customWidth="1"/>
    <col min="21" max="23" width="19.140625" style="1" hidden="1" customWidth="1"/>
    <col min="24" max="24" width="19.140625" style="1" customWidth="1"/>
    <col min="25" max="27" width="19.140625" style="1" hidden="1" customWidth="1"/>
    <col min="28" max="28" width="19.140625" style="1" customWidth="1"/>
    <col min="29" max="31" width="19.140625" style="1" hidden="1" customWidth="1"/>
    <col min="32" max="32" width="19.140625" style="1" customWidth="1"/>
    <col min="33" max="35" width="19.140625" style="1" hidden="1" customWidth="1"/>
    <col min="36" max="36" width="19.140625" style="1" customWidth="1"/>
    <col min="37" max="39" width="19.140625" style="1" hidden="1" customWidth="1"/>
    <col min="40" max="40" width="19.140625" style="1" customWidth="1"/>
    <col min="41" max="43" width="19.140625" style="1" hidden="1" customWidth="1"/>
    <col min="44" max="44" width="19.140625" style="1" customWidth="1"/>
    <col min="45" max="45" width="11.42578125" style="31" customWidth="1"/>
    <col min="46" max="16384" width="9.140625" style="1"/>
  </cols>
  <sheetData>
    <row r="2" spans="1:46" ht="42.75" customHeight="1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 t="s">
        <v>7</v>
      </c>
      <c r="U3" s="8"/>
      <c r="V3" s="8"/>
      <c r="W3" s="8"/>
      <c r="X3" s="8" t="s">
        <v>8</v>
      </c>
      <c r="Y3" s="8"/>
      <c r="Z3" s="8"/>
      <c r="AA3" s="8"/>
      <c r="AB3" s="8" t="s">
        <v>9</v>
      </c>
      <c r="AC3" s="8"/>
      <c r="AD3" s="8"/>
      <c r="AE3" s="8"/>
      <c r="AF3" s="8" t="s">
        <v>10</v>
      </c>
      <c r="AG3" s="8"/>
      <c r="AH3" s="8"/>
      <c r="AI3" s="8"/>
      <c r="AJ3" s="8" t="s">
        <v>11</v>
      </c>
      <c r="AK3" s="8"/>
      <c r="AL3" s="8"/>
      <c r="AM3" s="8"/>
      <c r="AN3" s="8" t="s">
        <v>12</v>
      </c>
      <c r="AO3" s="8"/>
      <c r="AP3" s="8"/>
      <c r="AQ3" s="8"/>
      <c r="AR3" s="8" t="s">
        <v>13</v>
      </c>
      <c r="AS3" s="32"/>
    </row>
    <row r="4" spans="1:46" ht="22.5" customHeight="1" x14ac:dyDescent="0.25">
      <c r="A4" s="36" t="s">
        <v>34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1"/>
    </row>
    <row r="5" spans="1:46" ht="22.5" customHeight="1" x14ac:dyDescent="0.25">
      <c r="A5" s="37"/>
      <c r="B5" s="4" t="s">
        <v>14</v>
      </c>
      <c r="C5" s="4">
        <v>0.96155087348730239</v>
      </c>
      <c r="D5" s="3">
        <f>24795506+2295890</f>
        <v>27091396</v>
      </c>
      <c r="E5" s="3"/>
      <c r="F5" s="3">
        <v>1.0077245674426683</v>
      </c>
      <c r="G5" s="3">
        <f>22106214+1874555</f>
        <v>23980769</v>
      </c>
      <c r="H5" s="3"/>
      <c r="I5" s="3">
        <v>1.0546016587949489</v>
      </c>
      <c r="J5" s="3">
        <f>25321363+1936635</f>
        <v>27257998</v>
      </c>
      <c r="K5" s="3"/>
      <c r="L5" s="3">
        <v>0.89566488007682954</v>
      </c>
      <c r="M5" s="3">
        <f>22497930+1467031</f>
        <v>23964961</v>
      </c>
      <c r="N5" s="3"/>
      <c r="O5" s="3"/>
      <c r="P5" s="3">
        <v>1.0251199067844443</v>
      </c>
      <c r="Q5" s="3">
        <f>18019716+1093900</f>
        <v>19113616</v>
      </c>
      <c r="R5" s="3"/>
      <c r="S5" s="3"/>
      <c r="T5" s="3">
        <f>769512+16094287+229057</f>
        <v>17092856</v>
      </c>
      <c r="U5" s="3"/>
      <c r="V5" s="3"/>
      <c r="W5" s="3">
        <v>1.0068140444475508</v>
      </c>
      <c r="X5" s="3">
        <f>16419589+838155</f>
        <v>17257744</v>
      </c>
      <c r="Y5" s="3"/>
      <c r="Z5" s="3"/>
      <c r="AA5" s="3">
        <v>1.0547162130091785</v>
      </c>
      <c r="AB5" s="3">
        <f>241600+17412870+807089</f>
        <v>18461559</v>
      </c>
      <c r="AC5" s="3"/>
      <c r="AD5" s="3"/>
      <c r="AE5" s="3">
        <v>1.0319596788527283</v>
      </c>
      <c r="AF5" s="3">
        <f>1187389+17190973</f>
        <v>18378362</v>
      </c>
      <c r="AG5" s="3"/>
      <c r="AH5" s="3"/>
      <c r="AI5" s="3">
        <v>1.1491792600028801</v>
      </c>
      <c r="AJ5" s="3">
        <f>18579865+1454850</f>
        <v>20034715</v>
      </c>
      <c r="AK5" s="3"/>
      <c r="AL5" s="3"/>
      <c r="AM5" s="3">
        <v>1.0284060976992393</v>
      </c>
      <c r="AN5" s="3">
        <f>19692779+237901+1876139</f>
        <v>21806819</v>
      </c>
      <c r="AO5" s="3"/>
      <c r="AP5" s="3"/>
      <c r="AQ5" s="3">
        <v>1.1257800347393978</v>
      </c>
      <c r="AR5" s="3">
        <f>21663601+2346461</f>
        <v>24010062</v>
      </c>
    </row>
    <row r="6" spans="1:46" ht="22.5" customHeight="1" x14ac:dyDescent="0.25">
      <c r="A6" s="37"/>
      <c r="B6" s="4" t="s">
        <v>15</v>
      </c>
      <c r="C6" s="4">
        <v>1.0727317909993106</v>
      </c>
      <c r="D6" s="3">
        <v>129559</v>
      </c>
      <c r="E6" s="3"/>
      <c r="F6" s="3">
        <v>0.95508111703121379</v>
      </c>
      <c r="G6" s="3">
        <v>117591</v>
      </c>
      <c r="H6" s="3"/>
      <c r="I6" s="3">
        <v>0.90501377065598398</v>
      </c>
      <c r="J6" s="3">
        <v>124878</v>
      </c>
      <c r="K6" s="3"/>
      <c r="L6" s="3">
        <v>0.82870802642044472</v>
      </c>
      <c r="M6" s="3">
        <v>105451</v>
      </c>
      <c r="N6" s="3"/>
      <c r="O6" s="3"/>
      <c r="P6" s="3">
        <v>0.82069792916384121</v>
      </c>
      <c r="Q6" s="3">
        <v>85544</v>
      </c>
      <c r="R6" s="3"/>
      <c r="S6" s="3"/>
      <c r="T6" s="3">
        <v>68499</v>
      </c>
      <c r="U6" s="3"/>
      <c r="V6" s="3"/>
      <c r="W6" s="3">
        <v>1.0189891685782431</v>
      </c>
      <c r="X6" s="3">
        <v>69540</v>
      </c>
      <c r="Y6" s="3"/>
      <c r="Z6" s="3"/>
      <c r="AA6" s="3">
        <v>1.1296867778821356</v>
      </c>
      <c r="AB6" s="3">
        <v>74670</v>
      </c>
      <c r="AC6" s="3"/>
      <c r="AD6" s="3"/>
      <c r="AE6" s="3">
        <v>1.0846046241554055</v>
      </c>
      <c r="AF6" s="3">
        <v>72854</v>
      </c>
      <c r="AG6" s="3"/>
      <c r="AH6" s="3"/>
      <c r="AI6" s="3">
        <v>1.1406183459671237</v>
      </c>
      <c r="AJ6" s="3">
        <v>90904</v>
      </c>
      <c r="AK6" s="3"/>
      <c r="AL6" s="3"/>
      <c r="AM6" s="3">
        <v>1.1255227001194743</v>
      </c>
      <c r="AN6" s="3">
        <v>106763</v>
      </c>
      <c r="AO6" s="3"/>
      <c r="AP6" s="3"/>
      <c r="AQ6" s="3">
        <v>1.3053425709167765</v>
      </c>
      <c r="AR6" s="3">
        <v>134971</v>
      </c>
    </row>
    <row r="7" spans="1:46" ht="22.5" customHeight="1" x14ac:dyDescent="0.25">
      <c r="A7" s="37"/>
      <c r="B7" s="4" t="s">
        <v>16</v>
      </c>
      <c r="C7" s="4">
        <v>1.0228984519889481</v>
      </c>
      <c r="D7" s="3">
        <v>651906</v>
      </c>
      <c r="E7" s="3"/>
      <c r="F7" s="3">
        <v>1.0602450165833575</v>
      </c>
      <c r="G7" s="3">
        <v>518167</v>
      </c>
      <c r="H7" s="3"/>
      <c r="I7" s="3">
        <v>0.92345239152781122</v>
      </c>
      <c r="J7" s="3">
        <v>452620</v>
      </c>
      <c r="K7" s="3"/>
      <c r="L7" s="3">
        <v>0.6554865950798523</v>
      </c>
      <c r="M7" s="3">
        <v>409138</v>
      </c>
      <c r="N7" s="3"/>
      <c r="O7" s="3"/>
      <c r="P7" s="3">
        <v>0.81495244809124101</v>
      </c>
      <c r="Q7" s="3">
        <v>314287</v>
      </c>
      <c r="R7" s="3"/>
      <c r="S7" s="3"/>
      <c r="T7" s="3">
        <v>252102</v>
      </c>
      <c r="U7" s="3"/>
      <c r="V7" s="3"/>
      <c r="W7" s="3">
        <v>0.97971686735810903</v>
      </c>
      <c r="X7" s="3">
        <v>249173</v>
      </c>
      <c r="Y7" s="3"/>
      <c r="Z7" s="3"/>
      <c r="AA7" s="3">
        <v>1.0110446596646454</v>
      </c>
      <c r="AB7" s="3">
        <v>255517</v>
      </c>
      <c r="AC7" s="3"/>
      <c r="AD7" s="3"/>
      <c r="AE7" s="3">
        <v>1.1332084589881433</v>
      </c>
      <c r="AF7" s="3">
        <v>348240</v>
      </c>
      <c r="AG7" s="3"/>
      <c r="AH7" s="3"/>
      <c r="AI7" s="3">
        <v>1.1270839325207525</v>
      </c>
      <c r="AJ7" s="3">
        <f>407285+270206</f>
        <v>677491</v>
      </c>
      <c r="AK7" s="3"/>
      <c r="AL7" s="3"/>
      <c r="AM7" s="3">
        <v>1.4925484329857597</v>
      </c>
      <c r="AN7" s="3">
        <f>654770+408685</f>
        <v>1063455</v>
      </c>
      <c r="AO7" s="3"/>
      <c r="AP7" s="3"/>
      <c r="AQ7" s="3">
        <v>1.1750533543475441</v>
      </c>
      <c r="AR7" s="3">
        <v>430679</v>
      </c>
    </row>
    <row r="8" spans="1:46" ht="22.5" customHeight="1" x14ac:dyDescent="0.25">
      <c r="A8" s="37"/>
      <c r="B8" s="4" t="s">
        <v>17</v>
      </c>
      <c r="C8" s="4">
        <v>3.7790604026845638</v>
      </c>
      <c r="D8" s="3">
        <v>19820</v>
      </c>
      <c r="E8" s="3"/>
      <c r="F8" s="3">
        <v>0.45840733110748028</v>
      </c>
      <c r="G8" s="3">
        <v>8072</v>
      </c>
      <c r="H8" s="3"/>
      <c r="I8" s="3">
        <v>1.3378273671160701</v>
      </c>
      <c r="J8" s="3">
        <v>10779</v>
      </c>
      <c r="K8" s="3"/>
      <c r="L8" s="3">
        <v>0.62759179891115491</v>
      </c>
      <c r="M8" s="3">
        <v>5256</v>
      </c>
      <c r="N8" s="3"/>
      <c r="O8" s="3"/>
      <c r="P8" s="3">
        <v>0.80583241048357324</v>
      </c>
      <c r="Q8" s="3">
        <v>3702</v>
      </c>
      <c r="R8" s="3"/>
      <c r="S8" s="3"/>
      <c r="T8" s="3">
        <v>2683</v>
      </c>
      <c r="U8" s="3"/>
      <c r="V8" s="3"/>
      <c r="W8" s="3">
        <v>1.8385258358662615</v>
      </c>
      <c r="X8" s="3">
        <v>5358</v>
      </c>
      <c r="Y8" s="3"/>
      <c r="Z8" s="3"/>
      <c r="AA8" s="3">
        <v>0.44100020665426742</v>
      </c>
      <c r="AB8" s="3">
        <v>2420</v>
      </c>
      <c r="AC8" s="3"/>
      <c r="AD8" s="3"/>
      <c r="AE8" s="3">
        <v>1.7361761949390815</v>
      </c>
      <c r="AF8" s="3">
        <v>4321</v>
      </c>
      <c r="AG8" s="3"/>
      <c r="AH8" s="3"/>
      <c r="AI8" s="3">
        <v>1.3638326585695006</v>
      </c>
      <c r="AJ8" s="3">
        <v>3345</v>
      </c>
      <c r="AK8" s="3"/>
      <c r="AL8" s="3"/>
      <c r="AM8" s="3">
        <v>1.1153770037601425</v>
      </c>
      <c r="AN8" s="3">
        <v>5411</v>
      </c>
      <c r="AO8" s="3"/>
      <c r="AP8" s="3"/>
      <c r="AQ8" s="3">
        <v>1.4842086586231369</v>
      </c>
      <c r="AR8" s="3">
        <v>6165</v>
      </c>
    </row>
    <row r="9" spans="1:46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1"/>
    </row>
    <row r="10" spans="1:46" ht="22.5" customHeight="1" x14ac:dyDescent="0.25">
      <c r="A10" s="37"/>
      <c r="B10" s="10" t="s">
        <v>26</v>
      </c>
      <c r="C10" s="10">
        <v>49.5</v>
      </c>
      <c r="D10" s="3"/>
      <c r="E10" s="3"/>
      <c r="F10" s="3"/>
      <c r="G10" s="3">
        <v>1</v>
      </c>
      <c r="H10" s="3"/>
      <c r="I10" s="3">
        <v>283.16216216216219</v>
      </c>
      <c r="J10" s="3">
        <v>1</v>
      </c>
      <c r="K10" s="3"/>
      <c r="L10" s="3">
        <v>0.12389042664884986</v>
      </c>
      <c r="M10" s="3">
        <v>941</v>
      </c>
      <c r="N10" s="3"/>
      <c r="O10" s="3"/>
      <c r="P10" s="3">
        <v>0.5184899845916795</v>
      </c>
      <c r="Q10" s="3">
        <v>1</v>
      </c>
      <c r="R10" s="3"/>
      <c r="S10" s="3"/>
      <c r="T10" s="3">
        <v>6316</v>
      </c>
      <c r="U10" s="3"/>
      <c r="V10" s="3"/>
      <c r="W10" s="3">
        <v>8.4104289318755253E-4</v>
      </c>
      <c r="X10" s="3">
        <v>1</v>
      </c>
      <c r="Y10" s="3"/>
      <c r="Z10" s="3"/>
      <c r="AA10" s="3">
        <v>290</v>
      </c>
      <c r="AB10" s="3">
        <v>3655</v>
      </c>
      <c r="AC10" s="3"/>
      <c r="AD10" s="3"/>
      <c r="AE10" s="3">
        <v>7.3793103448275863</v>
      </c>
      <c r="AF10" s="3">
        <v>104</v>
      </c>
      <c r="AG10" s="3"/>
      <c r="AH10" s="3"/>
      <c r="AI10" s="3">
        <v>1.6313084112149532</v>
      </c>
      <c r="AJ10" s="3">
        <v>481</v>
      </c>
      <c r="AK10" s="3"/>
      <c r="AL10" s="3"/>
      <c r="AM10" s="3">
        <v>0.11801775995416786</v>
      </c>
      <c r="AN10" s="3">
        <v>325</v>
      </c>
      <c r="AO10" s="3"/>
      <c r="AP10" s="3"/>
      <c r="AQ10" s="3">
        <v>5.8179611650485441</v>
      </c>
      <c r="AR10" s="3">
        <v>4844</v>
      </c>
    </row>
    <row r="11" spans="1:46" ht="22.5" customHeight="1" x14ac:dyDescent="0.25">
      <c r="A11" s="42" t="s">
        <v>18</v>
      </c>
      <c r="B11" s="43"/>
      <c r="C11" s="28"/>
      <c r="D11" s="9">
        <f t="shared" ref="D11:AJ11" si="0">SUM(D5:D10)</f>
        <v>27892681</v>
      </c>
      <c r="E11" s="9"/>
      <c r="F11" s="9"/>
      <c r="G11" s="9">
        <f>SUM(G5:G10)</f>
        <v>24624600</v>
      </c>
      <c r="H11" s="9"/>
      <c r="I11" s="9"/>
      <c r="J11" s="9">
        <f t="shared" si="0"/>
        <v>27846276</v>
      </c>
      <c r="K11" s="9"/>
      <c r="L11" s="9"/>
      <c r="M11" s="9">
        <f t="shared" si="0"/>
        <v>24485747</v>
      </c>
      <c r="N11" s="9"/>
      <c r="O11" s="9"/>
      <c r="P11" s="9"/>
      <c r="Q11" s="9">
        <f t="shared" si="0"/>
        <v>19517150</v>
      </c>
      <c r="R11" s="9"/>
      <c r="S11" s="9"/>
      <c r="T11" s="9">
        <f t="shared" si="0"/>
        <v>17422456</v>
      </c>
      <c r="U11" s="9"/>
      <c r="V11" s="9"/>
      <c r="W11" s="9"/>
      <c r="X11" s="9">
        <f t="shared" si="0"/>
        <v>17581816</v>
      </c>
      <c r="Y11" s="9"/>
      <c r="Z11" s="9"/>
      <c r="AA11" s="9"/>
      <c r="AB11" s="9">
        <f t="shared" si="0"/>
        <v>18797821</v>
      </c>
      <c r="AC11" s="9"/>
      <c r="AD11" s="9"/>
      <c r="AE11" s="9"/>
      <c r="AF11" s="9">
        <f t="shared" si="0"/>
        <v>18803881</v>
      </c>
      <c r="AG11" s="9"/>
      <c r="AH11" s="9"/>
      <c r="AI11" s="9"/>
      <c r="AJ11" s="9">
        <f t="shared" si="0"/>
        <v>20806936</v>
      </c>
      <c r="AK11" s="9"/>
      <c r="AL11" s="9"/>
      <c r="AM11" s="9"/>
      <c r="AN11" s="9">
        <f>SUM(AN5:AN10)</f>
        <v>22982773</v>
      </c>
      <c r="AO11" s="9"/>
      <c r="AP11" s="9"/>
      <c r="AQ11" s="9"/>
      <c r="AR11" s="9">
        <f>SUM(AR5:AR10)</f>
        <v>24586721</v>
      </c>
    </row>
    <row r="12" spans="1:46" ht="22.5" customHeight="1" x14ac:dyDescent="0.25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4" spans="1:46" ht="22.5" customHeight="1" x14ac:dyDescent="0.25">
      <c r="D14" s="11"/>
      <c r="E14" s="11"/>
      <c r="F14" s="11"/>
    </row>
    <row r="15" spans="1:46" ht="22.5" customHeight="1" x14ac:dyDescent="0.25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33"/>
      <c r="AT15" s="12"/>
    </row>
    <row r="16" spans="1:46" ht="22.5" customHeight="1" x14ac:dyDescent="0.2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33"/>
      <c r="AT16" s="12"/>
    </row>
    <row r="17" spans="4:46" ht="22.5" customHeight="1" x14ac:dyDescent="0.2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33"/>
      <c r="AT17" s="12"/>
    </row>
    <row r="18" spans="4:46" ht="22.5" customHeight="1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33"/>
      <c r="AT18" s="12"/>
    </row>
    <row r="19" spans="4:46" ht="22.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33"/>
      <c r="AT19" s="12"/>
    </row>
    <row r="20" spans="4:46" ht="22.5" customHeight="1" x14ac:dyDescent="0.2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33"/>
      <c r="AT20" s="12"/>
    </row>
    <row r="21" spans="4:46" ht="22.5" customHeight="1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33"/>
      <c r="AT21" s="12"/>
    </row>
    <row r="22" spans="4:46" ht="22.5" customHeight="1" x14ac:dyDescent="0.25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33"/>
      <c r="AT22" s="12"/>
    </row>
    <row r="23" spans="4:46" ht="22.5" customHeight="1" x14ac:dyDescent="0.2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33"/>
      <c r="AT23" s="12"/>
    </row>
    <row r="24" spans="4:46" ht="22.5" customHeight="1" x14ac:dyDescent="0.2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33"/>
      <c r="AT24" s="12"/>
    </row>
    <row r="25" spans="4:46" ht="22.5" customHeight="1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4"/>
      <c r="R25" s="44"/>
      <c r="S25" s="44"/>
      <c r="T25" s="44"/>
      <c r="U25" s="29"/>
      <c r="V25" s="29"/>
      <c r="W25" s="30"/>
      <c r="X25" s="13"/>
      <c r="Y25" s="13"/>
      <c r="Z25" s="13"/>
      <c r="AA25" s="13"/>
      <c r="AB25" s="14"/>
      <c r="AC25" s="14"/>
      <c r="AD25" s="14"/>
      <c r="AE25" s="14"/>
      <c r="AF25" s="15"/>
      <c r="AG25" s="15"/>
      <c r="AH25" s="15"/>
      <c r="AI25" s="15"/>
      <c r="AJ25" s="16"/>
      <c r="AK25" s="16"/>
      <c r="AL25" s="16"/>
      <c r="AM25" s="16"/>
      <c r="AN25" s="12"/>
      <c r="AO25" s="12"/>
      <c r="AP25" s="12"/>
      <c r="AQ25" s="12"/>
      <c r="AR25" s="12"/>
      <c r="AS25" s="33"/>
      <c r="AT25" s="12"/>
    </row>
    <row r="26" spans="4:46" ht="22.5" customHeight="1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4"/>
      <c r="R26" s="44"/>
      <c r="S26" s="44"/>
      <c r="T26" s="44"/>
      <c r="U26" s="29"/>
      <c r="V26" s="29"/>
      <c r="W26" s="30"/>
      <c r="X26" s="13"/>
      <c r="Y26" s="13"/>
      <c r="Z26" s="13"/>
      <c r="AA26" s="13"/>
      <c r="AB26" s="14"/>
      <c r="AC26" s="14"/>
      <c r="AD26" s="14"/>
      <c r="AE26" s="14"/>
      <c r="AF26" s="15"/>
      <c r="AG26" s="15"/>
      <c r="AH26" s="15"/>
      <c r="AI26" s="15"/>
      <c r="AJ26" s="16"/>
      <c r="AK26" s="16"/>
      <c r="AL26" s="16"/>
      <c r="AM26" s="16"/>
      <c r="AN26" s="12"/>
      <c r="AO26" s="12"/>
      <c r="AP26" s="12"/>
      <c r="AQ26" s="12"/>
      <c r="AR26" s="12"/>
      <c r="AS26" s="33"/>
      <c r="AT26" s="12"/>
    </row>
    <row r="27" spans="4:46" ht="22.5" customHeight="1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4"/>
      <c r="R27" s="44"/>
      <c r="S27" s="44"/>
      <c r="T27" s="44"/>
      <c r="U27" s="29"/>
      <c r="V27" s="29"/>
      <c r="W27" s="30"/>
      <c r="X27" s="13"/>
      <c r="Y27" s="13"/>
      <c r="Z27" s="13"/>
      <c r="AA27" s="13"/>
      <c r="AB27" s="14"/>
      <c r="AC27" s="14"/>
      <c r="AD27" s="14"/>
      <c r="AE27" s="14"/>
      <c r="AF27" s="15"/>
      <c r="AG27" s="15"/>
      <c r="AH27" s="15"/>
      <c r="AI27" s="15"/>
      <c r="AJ27" s="16"/>
      <c r="AK27" s="16"/>
      <c r="AL27" s="16"/>
      <c r="AM27" s="16"/>
      <c r="AN27" s="12"/>
      <c r="AO27" s="12"/>
      <c r="AP27" s="12"/>
      <c r="AQ27" s="12"/>
      <c r="AR27" s="12"/>
      <c r="AS27" s="33"/>
      <c r="AT27" s="12"/>
    </row>
    <row r="28" spans="4:46" ht="22.5" customHeight="1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7"/>
      <c r="AC28" s="17"/>
      <c r="AD28" s="17"/>
      <c r="AE28" s="17"/>
      <c r="AF28" s="15"/>
      <c r="AG28" s="15"/>
      <c r="AH28" s="15"/>
      <c r="AI28" s="15"/>
      <c r="AJ28" s="16"/>
      <c r="AK28" s="16"/>
      <c r="AL28" s="16"/>
      <c r="AM28" s="16"/>
      <c r="AN28" s="12"/>
      <c r="AO28" s="12"/>
      <c r="AP28" s="12"/>
      <c r="AQ28" s="12"/>
      <c r="AR28" s="12"/>
      <c r="AS28" s="33"/>
      <c r="AT28" s="12"/>
    </row>
    <row r="29" spans="4:46" ht="22.5" customHeight="1" x14ac:dyDescent="0.2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5"/>
      <c r="AG29" s="15"/>
      <c r="AH29" s="15"/>
      <c r="AI29" s="15"/>
      <c r="AJ29" s="16"/>
      <c r="AK29" s="16"/>
      <c r="AL29" s="16"/>
      <c r="AM29" s="16"/>
      <c r="AN29" s="12"/>
      <c r="AO29" s="12"/>
      <c r="AP29" s="12"/>
      <c r="AQ29" s="12"/>
      <c r="AR29" s="12"/>
      <c r="AS29" s="33"/>
      <c r="AT29" s="12"/>
    </row>
    <row r="30" spans="4:46" ht="22.5" customHeight="1" x14ac:dyDescent="0.2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5"/>
      <c r="AG30" s="15"/>
      <c r="AH30" s="15"/>
      <c r="AI30" s="15"/>
      <c r="AJ30" s="16"/>
      <c r="AK30" s="16"/>
      <c r="AL30" s="16"/>
      <c r="AM30" s="16"/>
      <c r="AN30" s="12"/>
      <c r="AO30" s="12"/>
      <c r="AP30" s="12"/>
      <c r="AQ30" s="12"/>
      <c r="AR30" s="12"/>
      <c r="AS30" s="33"/>
      <c r="AT30" s="12"/>
    </row>
    <row r="31" spans="4:46" ht="22.5" customHeight="1" x14ac:dyDescent="0.2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33"/>
      <c r="AT31" s="12"/>
    </row>
  </sheetData>
  <mergeCells count="8">
    <mergeCell ref="Q26:T26"/>
    <mergeCell ref="Q27:T27"/>
    <mergeCell ref="A2:AR2"/>
    <mergeCell ref="A4:A10"/>
    <mergeCell ref="B4:AR4"/>
    <mergeCell ref="B9:AR9"/>
    <mergeCell ref="A11:B11"/>
    <mergeCell ref="Q25:T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opLeftCell="B1" zoomScale="70" zoomScaleNormal="70" workbookViewId="0">
      <selection activeCell="B1" sqref="A1:XFD1048576"/>
    </sheetView>
  </sheetViews>
  <sheetFormatPr defaultColWidth="9.140625" defaultRowHeight="15" x14ac:dyDescent="0.25"/>
  <cols>
    <col min="1" max="1" width="24.85546875" style="1" customWidth="1"/>
    <col min="2" max="2" width="20.140625" style="1" customWidth="1"/>
    <col min="3" max="14" width="19.140625" style="1" customWidth="1"/>
    <col min="15" max="15" width="10.710937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7" ht="42.75" customHeight="1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ht="22.5" customHeight="1" x14ac:dyDescent="0.25">
      <c r="A4" s="36" t="s">
        <v>34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7" ht="22.5" customHeight="1" x14ac:dyDescent="0.25">
      <c r="A5" s="37"/>
      <c r="B5" s="4" t="s">
        <v>14</v>
      </c>
      <c r="C5" s="3">
        <v>23839423</v>
      </c>
      <c r="D5" s="3">
        <v>21707938</v>
      </c>
      <c r="E5" s="3">
        <v>22540349</v>
      </c>
      <c r="F5" s="3">
        <v>20357359</v>
      </c>
      <c r="G5" s="3">
        <v>20157338</v>
      </c>
      <c r="H5" s="3">
        <v>17890187</v>
      </c>
      <c r="I5" s="3">
        <v>17726116</v>
      </c>
      <c r="J5" s="3">
        <v>17065003</v>
      </c>
      <c r="K5" s="3">
        <v>16627302</v>
      </c>
      <c r="L5" s="3">
        <v>18813300</v>
      </c>
      <c r="M5" s="3">
        <v>20336354</v>
      </c>
      <c r="N5" s="3">
        <v>22763312</v>
      </c>
      <c r="O5" s="34"/>
      <c r="Q5" s="11"/>
    </row>
    <row r="6" spans="1:17" ht="22.5" customHeight="1" x14ac:dyDescent="0.25">
      <c r="A6" s="37"/>
      <c r="B6" s="4" t="s">
        <v>15</v>
      </c>
      <c r="C6" s="3">
        <v>129365</v>
      </c>
      <c r="D6" s="3">
        <v>115988</v>
      </c>
      <c r="E6" s="3">
        <v>118188</v>
      </c>
      <c r="F6" s="3">
        <v>84958</v>
      </c>
      <c r="G6" s="3">
        <v>78800</v>
      </c>
      <c r="H6" s="3">
        <v>65728</v>
      </c>
      <c r="I6" s="3">
        <v>68269</v>
      </c>
      <c r="J6" s="3">
        <v>65437</v>
      </c>
      <c r="K6" s="3">
        <v>69100</v>
      </c>
      <c r="L6" s="3">
        <v>92229</v>
      </c>
      <c r="M6" s="3">
        <v>106892</v>
      </c>
      <c r="N6" s="3">
        <v>136755</v>
      </c>
      <c r="O6" s="34"/>
      <c r="Q6" s="11"/>
    </row>
    <row r="7" spans="1:17" ht="22.5" customHeight="1" x14ac:dyDescent="0.25">
      <c r="A7" s="37"/>
      <c r="B7" s="4" t="s">
        <v>16</v>
      </c>
      <c r="C7" s="3">
        <v>1141979</v>
      </c>
      <c r="D7" s="3">
        <v>1030263</v>
      </c>
      <c r="E7" s="3">
        <v>866639</v>
      </c>
      <c r="F7" s="3">
        <v>816301</v>
      </c>
      <c r="G7" s="3">
        <v>747930</v>
      </c>
      <c r="H7" s="3">
        <v>654326</v>
      </c>
      <c r="I7" s="3">
        <v>215129</v>
      </c>
      <c r="J7" s="3">
        <v>554556</v>
      </c>
      <c r="K7" s="3">
        <v>840421</v>
      </c>
      <c r="L7" s="3">
        <v>903165</v>
      </c>
      <c r="M7" s="3">
        <v>909794</v>
      </c>
      <c r="N7" s="3">
        <v>1069098</v>
      </c>
      <c r="O7" s="34"/>
      <c r="Q7" s="11"/>
    </row>
    <row r="8" spans="1:17" ht="22.5" customHeight="1" x14ac:dyDescent="0.25">
      <c r="A8" s="37"/>
      <c r="B8" s="4" t="s">
        <v>17</v>
      </c>
      <c r="C8" s="3">
        <v>7494</v>
      </c>
      <c r="D8" s="3">
        <v>7734</v>
      </c>
      <c r="E8" s="3">
        <v>14626</v>
      </c>
      <c r="F8" s="3">
        <v>1663</v>
      </c>
      <c r="G8" s="3">
        <v>3632</v>
      </c>
      <c r="H8" s="3">
        <v>2849</v>
      </c>
      <c r="I8" s="3">
        <v>3187</v>
      </c>
      <c r="J8" s="3">
        <v>3108</v>
      </c>
      <c r="K8" s="3">
        <v>3549</v>
      </c>
      <c r="L8" s="3">
        <v>4535</v>
      </c>
      <c r="M8" s="3">
        <v>4009</v>
      </c>
      <c r="N8" s="3">
        <v>6361</v>
      </c>
      <c r="O8" s="34"/>
      <c r="Q8" s="11"/>
    </row>
    <row r="9" spans="1:17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31"/>
      <c r="Q9" s="11"/>
    </row>
    <row r="10" spans="1:17" ht="22.5" customHeight="1" x14ac:dyDescent="0.25">
      <c r="A10" s="37"/>
      <c r="B10" s="10" t="s">
        <v>26</v>
      </c>
      <c r="C10" s="3">
        <v>3816</v>
      </c>
      <c r="D10" s="3">
        <v>5235</v>
      </c>
      <c r="E10" s="3">
        <v>902</v>
      </c>
      <c r="F10" s="3">
        <v>105</v>
      </c>
      <c r="G10" s="3">
        <v>96</v>
      </c>
      <c r="H10" s="3">
        <v>1</v>
      </c>
      <c r="I10" s="3">
        <v>627</v>
      </c>
      <c r="J10" s="3">
        <v>262</v>
      </c>
      <c r="K10" s="3">
        <v>1801</v>
      </c>
      <c r="L10" s="3">
        <v>1223</v>
      </c>
      <c r="M10" s="3">
        <v>1173</v>
      </c>
      <c r="N10" s="3">
        <v>406</v>
      </c>
      <c r="O10" s="31"/>
      <c r="Q10" s="11"/>
    </row>
    <row r="11" spans="1:17" ht="22.5" customHeight="1" x14ac:dyDescent="0.25">
      <c r="A11" s="42" t="s">
        <v>18</v>
      </c>
      <c r="B11" s="43"/>
      <c r="C11" s="9">
        <f t="shared" ref="C11:L11" si="0">SUM(C5:C10)</f>
        <v>25122077</v>
      </c>
      <c r="D11" s="9">
        <f>SUM(D5:D10)</f>
        <v>22867158</v>
      </c>
      <c r="E11" s="9">
        <f t="shared" si="0"/>
        <v>23540704</v>
      </c>
      <c r="F11" s="9">
        <f t="shared" si="0"/>
        <v>21260386</v>
      </c>
      <c r="G11" s="9">
        <f t="shared" si="0"/>
        <v>20987796</v>
      </c>
      <c r="H11" s="9">
        <f t="shared" si="0"/>
        <v>18613091</v>
      </c>
      <c r="I11" s="9">
        <f t="shared" si="0"/>
        <v>18013328</v>
      </c>
      <c r="J11" s="9">
        <f t="shared" si="0"/>
        <v>17688366</v>
      </c>
      <c r="K11" s="9">
        <f t="shared" si="0"/>
        <v>17542173</v>
      </c>
      <c r="L11" s="9">
        <f t="shared" si="0"/>
        <v>19814452</v>
      </c>
      <c r="M11" s="9">
        <f>SUM(M5:M10)</f>
        <v>21358222</v>
      </c>
      <c r="N11" s="9">
        <f>SUM(N5:N10)</f>
        <v>23975932</v>
      </c>
    </row>
    <row r="12" spans="1:17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7" ht="22.5" customHeight="1" x14ac:dyDescent="0.25">
      <c r="C14" s="11"/>
    </row>
    <row r="15" spans="1:17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3:16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16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3:16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3:16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3:16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3:16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3:16" ht="22.5" customHeight="1" x14ac:dyDescent="0.25">
      <c r="C25" s="12"/>
      <c r="D25" s="12"/>
      <c r="E25" s="12"/>
      <c r="F25" s="12"/>
      <c r="G25" s="44"/>
      <c r="H25" s="44"/>
      <c r="I25" s="13"/>
      <c r="J25" s="14"/>
      <c r="K25" s="15"/>
      <c r="L25" s="16"/>
      <c r="M25" s="12"/>
      <c r="N25" s="12"/>
      <c r="O25" s="12"/>
      <c r="P25" s="12"/>
    </row>
    <row r="26" spans="3:16" ht="22.5" customHeight="1" x14ac:dyDescent="0.25">
      <c r="C26" s="12"/>
      <c r="D26" s="12"/>
      <c r="E26" s="12"/>
      <c r="F26" s="12"/>
      <c r="G26" s="44"/>
      <c r="H26" s="44"/>
      <c r="I26" s="13"/>
      <c r="J26" s="14"/>
      <c r="K26" s="15"/>
      <c r="L26" s="16"/>
      <c r="M26" s="12"/>
      <c r="N26" s="12"/>
      <c r="O26" s="12"/>
      <c r="P26" s="12"/>
    </row>
    <row r="27" spans="3:16" ht="22.5" customHeight="1" x14ac:dyDescent="0.25">
      <c r="C27" s="12"/>
      <c r="D27" s="12"/>
      <c r="E27" s="12"/>
      <c r="F27" s="12"/>
      <c r="G27" s="44"/>
      <c r="H27" s="44"/>
      <c r="I27" s="13"/>
      <c r="J27" s="14"/>
      <c r="K27" s="15"/>
      <c r="L27" s="16"/>
      <c r="M27" s="12"/>
      <c r="N27" s="12"/>
      <c r="O27" s="12"/>
      <c r="P27" s="12"/>
    </row>
    <row r="28" spans="3:16" ht="22.5" customHeight="1" x14ac:dyDescent="0.25">
      <c r="C28" s="12"/>
      <c r="D28" s="12"/>
      <c r="E28" s="12"/>
      <c r="F28" s="12"/>
      <c r="G28" s="12"/>
      <c r="H28" s="12"/>
      <c r="I28" s="12"/>
      <c r="J28" s="17"/>
      <c r="K28" s="15"/>
      <c r="L28" s="16"/>
      <c r="M28" s="12"/>
      <c r="N28" s="12"/>
      <c r="O28" s="12"/>
      <c r="P28" s="12"/>
    </row>
    <row r="29" spans="3:16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5"/>
      <c r="L29" s="16"/>
      <c r="M29" s="12"/>
      <c r="N29" s="12"/>
      <c r="O29" s="12"/>
      <c r="P29" s="12"/>
    </row>
    <row r="30" spans="3:16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5"/>
      <c r="L30" s="16"/>
      <c r="M30" s="12"/>
      <c r="N30" s="12"/>
      <c r="O30" s="12"/>
      <c r="P30" s="12"/>
    </row>
    <row r="31" spans="3:16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</sheetData>
  <mergeCells count="8">
    <mergeCell ref="G26:H26"/>
    <mergeCell ref="G27:H27"/>
    <mergeCell ref="A2:N2"/>
    <mergeCell ref="A4:A10"/>
    <mergeCell ref="B4:N4"/>
    <mergeCell ref="B9:N9"/>
    <mergeCell ref="A11:B11"/>
    <mergeCell ref="G25:H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abSelected="1" zoomScale="70" zoomScaleNormal="70" workbookViewId="0">
      <selection activeCell="N16" sqref="N16"/>
    </sheetView>
  </sheetViews>
  <sheetFormatPr defaultColWidth="9.140625" defaultRowHeight="15" x14ac:dyDescent="0.25"/>
  <cols>
    <col min="1" max="1" width="24.85546875" style="1" customWidth="1"/>
    <col min="2" max="2" width="20.140625" style="1" customWidth="1"/>
    <col min="3" max="14" width="19.140625" style="1" customWidth="1"/>
    <col min="15" max="15" width="10.710937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7" ht="42.7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ht="22.5" customHeight="1" x14ac:dyDescent="0.25">
      <c r="A4" s="36" t="s">
        <v>34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7" ht="22.5" customHeight="1" x14ac:dyDescent="0.25">
      <c r="A5" s="37"/>
      <c r="B5" s="4" t="s">
        <v>14</v>
      </c>
      <c r="C5" s="3">
        <v>21662686</v>
      </c>
      <c r="D5" s="3">
        <v>20692618</v>
      </c>
      <c r="E5" s="3">
        <v>21000716</v>
      </c>
      <c r="F5" s="3">
        <v>18471462</v>
      </c>
      <c r="G5" s="3">
        <v>17796551</v>
      </c>
      <c r="H5" s="3">
        <v>17625330</v>
      </c>
      <c r="I5" s="3">
        <v>18328815</v>
      </c>
      <c r="J5" s="3">
        <v>18184977</v>
      </c>
      <c r="K5" s="3">
        <v>16757294</v>
      </c>
      <c r="L5" s="3">
        <v>18445456</v>
      </c>
      <c r="M5" s="3">
        <v>19717453</v>
      </c>
      <c r="N5" s="3">
        <v>21095434</v>
      </c>
      <c r="O5" s="34"/>
      <c r="Q5" s="11"/>
    </row>
    <row r="6" spans="1:17" ht="22.5" customHeight="1" x14ac:dyDescent="0.25">
      <c r="A6" s="37"/>
      <c r="B6" s="4" t="s">
        <v>15</v>
      </c>
      <c r="C6" s="3">
        <v>163790</v>
      </c>
      <c r="D6" s="3">
        <v>133334</v>
      </c>
      <c r="E6" s="3">
        <v>113807</v>
      </c>
      <c r="F6" s="3">
        <v>81358</v>
      </c>
      <c r="G6" s="3">
        <v>75725</v>
      </c>
      <c r="H6" s="3">
        <v>66213</v>
      </c>
      <c r="I6" s="3">
        <v>76676</v>
      </c>
      <c r="J6" s="3">
        <v>61145</v>
      </c>
      <c r="K6" s="3">
        <v>59682</v>
      </c>
      <c r="L6" s="3">
        <v>174398</v>
      </c>
      <c r="M6" s="3">
        <v>90402</v>
      </c>
      <c r="N6" s="3">
        <v>116435</v>
      </c>
      <c r="O6" s="34"/>
      <c r="Q6" s="11"/>
    </row>
    <row r="7" spans="1:17" ht="22.5" customHeight="1" x14ac:dyDescent="0.25">
      <c r="A7" s="37"/>
      <c r="B7" s="4" t="s">
        <v>16</v>
      </c>
      <c r="C7" s="3">
        <v>1190260</v>
      </c>
      <c r="D7" s="3">
        <v>1114375</v>
      </c>
      <c r="E7" s="3">
        <v>1013846</v>
      </c>
      <c r="F7" s="3">
        <v>257909</v>
      </c>
      <c r="G7" s="3">
        <v>204447</v>
      </c>
      <c r="H7" s="3">
        <v>182317</v>
      </c>
      <c r="I7" s="3">
        <v>177236</v>
      </c>
      <c r="J7" s="3">
        <v>157353</v>
      </c>
      <c r="K7" s="3">
        <v>171624</v>
      </c>
      <c r="L7" s="3">
        <v>242077</v>
      </c>
      <c r="M7" s="3">
        <v>330460</v>
      </c>
      <c r="N7" s="3">
        <v>403496</v>
      </c>
      <c r="O7" s="34"/>
      <c r="Q7" s="11"/>
    </row>
    <row r="8" spans="1:17" ht="22.5" customHeight="1" x14ac:dyDescent="0.25">
      <c r="A8" s="37"/>
      <c r="B8" s="4" t="s">
        <v>17</v>
      </c>
      <c r="C8" s="3">
        <v>7664</v>
      </c>
      <c r="D8" s="3">
        <v>4925</v>
      </c>
      <c r="E8" s="3">
        <v>3859</v>
      </c>
      <c r="F8" s="3">
        <v>3989</v>
      </c>
      <c r="G8" s="3">
        <v>11137</v>
      </c>
      <c r="H8" s="3">
        <v>7396</v>
      </c>
      <c r="I8" s="3">
        <v>7309</v>
      </c>
      <c r="J8" s="3">
        <v>8598</v>
      </c>
      <c r="K8" s="3">
        <v>10770</v>
      </c>
      <c r="L8" s="3">
        <v>6761</v>
      </c>
      <c r="M8" s="3">
        <v>5809</v>
      </c>
      <c r="N8" s="3">
        <v>6543</v>
      </c>
      <c r="O8" s="34"/>
      <c r="Q8" s="11"/>
    </row>
    <row r="9" spans="1:17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31"/>
      <c r="Q9" s="11"/>
    </row>
    <row r="10" spans="1:17" ht="22.5" customHeight="1" x14ac:dyDescent="0.25">
      <c r="A10" s="37"/>
      <c r="B10" s="10" t="s">
        <v>26</v>
      </c>
      <c r="C10" s="3">
        <v>2920</v>
      </c>
      <c r="D10" s="3">
        <v>16283</v>
      </c>
      <c r="E10" s="3">
        <v>1114</v>
      </c>
      <c r="F10" s="3">
        <v>689</v>
      </c>
      <c r="G10" s="3">
        <v>1165</v>
      </c>
      <c r="H10" s="3">
        <v>788</v>
      </c>
      <c r="I10" s="3">
        <v>708</v>
      </c>
      <c r="J10" s="3">
        <v>428</v>
      </c>
      <c r="K10" s="3">
        <v>984</v>
      </c>
      <c r="L10" s="3">
        <v>1459</v>
      </c>
      <c r="M10" s="3">
        <v>1431</v>
      </c>
      <c r="N10" s="3">
        <v>5075</v>
      </c>
      <c r="O10" s="31"/>
      <c r="Q10" s="11"/>
    </row>
    <row r="11" spans="1:17" ht="22.5" customHeight="1" x14ac:dyDescent="0.25">
      <c r="A11" s="42" t="s">
        <v>18</v>
      </c>
      <c r="B11" s="43"/>
      <c r="C11" s="9">
        <f t="shared" ref="C11:L11" si="0">SUM(C5:C10)</f>
        <v>23027320</v>
      </c>
      <c r="D11" s="9">
        <f>SUM(D5:D10)</f>
        <v>21961535</v>
      </c>
      <c r="E11" s="9">
        <f t="shared" si="0"/>
        <v>22133342</v>
      </c>
      <c r="F11" s="9">
        <f t="shared" si="0"/>
        <v>18815407</v>
      </c>
      <c r="G11" s="9">
        <f t="shared" si="0"/>
        <v>18089025</v>
      </c>
      <c r="H11" s="9">
        <f t="shared" si="0"/>
        <v>17882044</v>
      </c>
      <c r="I11" s="9">
        <f t="shared" si="0"/>
        <v>18590744</v>
      </c>
      <c r="J11" s="9">
        <f t="shared" si="0"/>
        <v>18412501</v>
      </c>
      <c r="K11" s="9">
        <f t="shared" si="0"/>
        <v>17000354</v>
      </c>
      <c r="L11" s="9">
        <f t="shared" si="0"/>
        <v>18870151</v>
      </c>
      <c r="M11" s="9">
        <f>SUM(M5:M10)</f>
        <v>20145555</v>
      </c>
      <c r="N11" s="9">
        <f>SUM(N5:N10)</f>
        <v>21626983</v>
      </c>
    </row>
    <row r="12" spans="1:17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7" ht="22.5" customHeight="1" x14ac:dyDescent="0.25">
      <c r="C14" s="11"/>
    </row>
    <row r="15" spans="1:17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3:16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16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3:16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3:16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3:16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3:16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3:16" ht="22.5" customHeight="1" x14ac:dyDescent="0.25">
      <c r="C25" s="12"/>
      <c r="D25" s="12"/>
      <c r="E25" s="12"/>
      <c r="F25" s="12"/>
      <c r="G25" s="44"/>
      <c r="H25" s="44"/>
      <c r="I25" s="13"/>
      <c r="J25" s="14"/>
      <c r="K25" s="15"/>
      <c r="L25" s="16"/>
      <c r="M25" s="12"/>
      <c r="N25" s="12"/>
      <c r="O25" s="12"/>
      <c r="P25" s="12"/>
    </row>
    <row r="26" spans="3:16" ht="22.5" customHeight="1" x14ac:dyDescent="0.25">
      <c r="C26" s="12"/>
      <c r="D26" s="12"/>
      <c r="E26" s="12"/>
      <c r="F26" s="12"/>
      <c r="G26" s="44"/>
      <c r="H26" s="44"/>
      <c r="I26" s="13"/>
      <c r="J26" s="14"/>
      <c r="K26" s="15"/>
      <c r="L26" s="16"/>
      <c r="M26" s="12"/>
      <c r="N26" s="12"/>
      <c r="O26" s="12"/>
      <c r="P26" s="12"/>
    </row>
    <row r="27" spans="3:16" ht="22.5" customHeight="1" x14ac:dyDescent="0.25">
      <c r="C27" s="12"/>
      <c r="D27" s="12"/>
      <c r="E27" s="12"/>
      <c r="F27" s="12"/>
      <c r="G27" s="44"/>
      <c r="H27" s="44"/>
      <c r="I27" s="13"/>
      <c r="J27" s="14"/>
      <c r="K27" s="15"/>
      <c r="L27" s="16"/>
      <c r="M27" s="12"/>
      <c r="N27" s="12"/>
      <c r="O27" s="12"/>
      <c r="P27" s="12"/>
    </row>
    <row r="28" spans="3:16" ht="22.5" customHeight="1" x14ac:dyDescent="0.25">
      <c r="C28" s="12"/>
      <c r="D28" s="12"/>
      <c r="E28" s="12"/>
      <c r="F28" s="12"/>
      <c r="G28" s="12"/>
      <c r="H28" s="12"/>
      <c r="I28" s="12"/>
      <c r="J28" s="17"/>
      <c r="K28" s="15"/>
      <c r="L28" s="16"/>
      <c r="M28" s="12"/>
      <c r="N28" s="12"/>
      <c r="O28" s="12"/>
      <c r="P28" s="12"/>
    </row>
    <row r="29" spans="3:16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5"/>
      <c r="L29" s="16"/>
      <c r="M29" s="12"/>
      <c r="N29" s="12"/>
      <c r="O29" s="12"/>
      <c r="P29" s="12"/>
    </row>
    <row r="30" spans="3:16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5"/>
      <c r="L30" s="16"/>
      <c r="M30" s="12"/>
      <c r="N30" s="12"/>
      <c r="O30" s="12"/>
      <c r="P30" s="12"/>
    </row>
    <row r="31" spans="3:16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</sheetData>
  <mergeCells count="8">
    <mergeCell ref="G26:H26"/>
    <mergeCell ref="G27:H27"/>
    <mergeCell ref="A2:N2"/>
    <mergeCell ref="A4:A10"/>
    <mergeCell ref="B4:N4"/>
    <mergeCell ref="B9:N9"/>
    <mergeCell ref="A11:B11"/>
    <mergeCell ref="G25:H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9" sqref="A9:XFD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21</v>
      </c>
      <c r="B4" s="39" t="s">
        <v>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2.5" customHeight="1" x14ac:dyDescent="0.25">
      <c r="A5" s="37"/>
      <c r="B5" s="4" t="s">
        <v>14</v>
      </c>
      <c r="C5" s="3">
        <v>29139643</v>
      </c>
      <c r="D5" s="3">
        <v>23873846</v>
      </c>
      <c r="E5" s="3">
        <v>25391156</v>
      </c>
      <c r="F5" s="3">
        <v>21707421</v>
      </c>
      <c r="G5" s="3">
        <v>20544248</v>
      </c>
      <c r="H5" s="3">
        <v>20360534</v>
      </c>
      <c r="I5" s="3">
        <v>21660318</v>
      </c>
      <c r="J5" s="3">
        <v>21202867</v>
      </c>
      <c r="K5" s="3">
        <v>19686512</v>
      </c>
      <c r="L5" s="3">
        <v>21073892</v>
      </c>
      <c r="M5" s="3">
        <v>23858331</v>
      </c>
      <c r="N5" s="3">
        <v>26031528</v>
      </c>
    </row>
    <row r="6" spans="1:14" ht="22.5" customHeight="1" x14ac:dyDescent="0.25">
      <c r="A6" s="37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9" t="s">
        <v>20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22.5" customHeight="1" x14ac:dyDescent="0.25">
      <c r="A10" s="37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8"/>
      <c r="B11" s="5" t="s">
        <v>18</v>
      </c>
      <c r="C11" s="3">
        <f t="shared" ref="C11:N11" si="0">SUM(C5:C8,)</f>
        <v>29139643</v>
      </c>
      <c r="D11" s="3">
        <f t="shared" si="0"/>
        <v>23873846</v>
      </c>
      <c r="E11" s="3">
        <f t="shared" si="0"/>
        <v>25391156</v>
      </c>
      <c r="F11" s="3">
        <f t="shared" si="0"/>
        <v>21707421</v>
      </c>
      <c r="G11" s="3">
        <f t="shared" si="0"/>
        <v>20544248</v>
      </c>
      <c r="H11" s="3">
        <f t="shared" si="0"/>
        <v>20360534</v>
      </c>
      <c r="I11" s="3">
        <f t="shared" si="0"/>
        <v>21660318</v>
      </c>
      <c r="J11" s="3">
        <f t="shared" si="0"/>
        <v>21202867</v>
      </c>
      <c r="K11" s="3">
        <f t="shared" si="0"/>
        <v>19686512</v>
      </c>
      <c r="L11" s="3">
        <f t="shared" si="0"/>
        <v>21073892</v>
      </c>
      <c r="M11" s="3">
        <f t="shared" si="0"/>
        <v>23858331</v>
      </c>
      <c r="N11" s="3">
        <f t="shared" si="0"/>
        <v>26031528</v>
      </c>
    </row>
    <row r="12" spans="1:14" ht="22.5" customHeight="1" x14ac:dyDescent="0.25">
      <c r="A12" s="42" t="s">
        <v>18</v>
      </c>
      <c r="B12" s="43"/>
      <c r="C12" s="9">
        <f>C11</f>
        <v>29139643</v>
      </c>
      <c r="D12" s="9">
        <f t="shared" ref="D12:N12" si="1">D11</f>
        <v>23873846</v>
      </c>
      <c r="E12" s="9">
        <f t="shared" si="1"/>
        <v>25391156</v>
      </c>
      <c r="F12" s="9">
        <f t="shared" si="1"/>
        <v>21707421</v>
      </c>
      <c r="G12" s="9">
        <f t="shared" si="1"/>
        <v>20544248</v>
      </c>
      <c r="H12" s="9">
        <f t="shared" si="1"/>
        <v>20360534</v>
      </c>
      <c r="I12" s="9">
        <f t="shared" si="1"/>
        <v>21660318</v>
      </c>
      <c r="J12" s="9">
        <f t="shared" si="1"/>
        <v>21202867</v>
      </c>
      <c r="K12" s="9">
        <f t="shared" si="1"/>
        <v>19686512</v>
      </c>
      <c r="L12" s="9">
        <f t="shared" si="1"/>
        <v>21073892</v>
      </c>
      <c r="M12" s="9">
        <f t="shared" si="1"/>
        <v>23858331</v>
      </c>
      <c r="N12" s="9">
        <f t="shared" si="1"/>
        <v>26031528</v>
      </c>
    </row>
  </sheetData>
  <mergeCells count="5">
    <mergeCell ref="A2:N2"/>
    <mergeCell ref="A4:A11"/>
    <mergeCell ref="B4:N4"/>
    <mergeCell ref="A12:B12"/>
    <mergeCell ref="B9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D1" workbookViewId="0">
      <selection activeCell="G18" sqref="G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21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2.5" customHeight="1" x14ac:dyDescent="0.25">
      <c r="A5" s="37"/>
      <c r="B5" s="4" t="s">
        <v>14</v>
      </c>
      <c r="C5" s="3">
        <v>25810533</v>
      </c>
      <c r="D5" s="3">
        <v>21756708</v>
      </c>
      <c r="E5" s="3">
        <v>22675892</v>
      </c>
      <c r="F5" s="3">
        <v>20506000</v>
      </c>
      <c r="G5" s="3">
        <v>19539801</v>
      </c>
      <c r="H5" s="3">
        <v>18478156</v>
      </c>
      <c r="I5" s="3">
        <v>20344854</v>
      </c>
      <c r="J5" s="3">
        <v>20398243</v>
      </c>
      <c r="K5" s="3">
        <v>19434621</v>
      </c>
      <c r="L5" s="3">
        <v>22185531</v>
      </c>
      <c r="M5" s="3">
        <v>23075447</v>
      </c>
      <c r="N5" s="3">
        <v>23832834</v>
      </c>
    </row>
    <row r="6" spans="1:14" ht="22.5" customHeight="1" x14ac:dyDescent="0.25">
      <c r="A6" s="37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22.5" customHeight="1" x14ac:dyDescent="0.25">
      <c r="A10" s="37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8"/>
      <c r="B11" s="5" t="s">
        <v>18</v>
      </c>
      <c r="C11" s="3">
        <f t="shared" ref="C11:N11" si="0">SUM(C5:C8,)</f>
        <v>25810533</v>
      </c>
      <c r="D11" s="3">
        <f t="shared" si="0"/>
        <v>21756708</v>
      </c>
      <c r="E11" s="3">
        <f t="shared" si="0"/>
        <v>22675892</v>
      </c>
      <c r="F11" s="3">
        <f t="shared" si="0"/>
        <v>20506000</v>
      </c>
      <c r="G11" s="3">
        <f t="shared" si="0"/>
        <v>19539801</v>
      </c>
      <c r="H11" s="3">
        <f>SUM(H5:H8,)</f>
        <v>18478156</v>
      </c>
      <c r="I11" s="3">
        <f t="shared" si="0"/>
        <v>20344854</v>
      </c>
      <c r="J11" s="3">
        <f t="shared" si="0"/>
        <v>20398243</v>
      </c>
      <c r="K11" s="3">
        <f t="shared" si="0"/>
        <v>19434621</v>
      </c>
      <c r="L11" s="3">
        <f>SUM(L5:L8,)</f>
        <v>22185531</v>
      </c>
      <c r="M11" s="3">
        <f t="shared" si="0"/>
        <v>23075447</v>
      </c>
      <c r="N11" s="3">
        <f t="shared" si="0"/>
        <v>23832834</v>
      </c>
    </row>
    <row r="12" spans="1:14" ht="22.5" customHeight="1" x14ac:dyDescent="0.25">
      <c r="A12" s="42" t="s">
        <v>18</v>
      </c>
      <c r="B12" s="43"/>
      <c r="C12" s="9">
        <f>C11</f>
        <v>25810533</v>
      </c>
      <c r="D12" s="9">
        <f t="shared" ref="D12:N12" si="1">D11</f>
        <v>21756708</v>
      </c>
      <c r="E12" s="9">
        <f t="shared" si="1"/>
        <v>22675892</v>
      </c>
      <c r="F12" s="9">
        <f t="shared" si="1"/>
        <v>20506000</v>
      </c>
      <c r="G12" s="9">
        <f t="shared" si="1"/>
        <v>19539801</v>
      </c>
      <c r="H12" s="9">
        <f t="shared" si="1"/>
        <v>18478156</v>
      </c>
      <c r="I12" s="9">
        <f t="shared" si="1"/>
        <v>20344854</v>
      </c>
      <c r="J12" s="9">
        <f t="shared" si="1"/>
        <v>20398243</v>
      </c>
      <c r="K12" s="9">
        <f t="shared" si="1"/>
        <v>19434621</v>
      </c>
      <c r="L12" s="9">
        <f>L11</f>
        <v>22185531</v>
      </c>
      <c r="M12" s="9">
        <f t="shared" si="1"/>
        <v>23075447</v>
      </c>
      <c r="N12" s="9">
        <f t="shared" si="1"/>
        <v>23832834</v>
      </c>
    </row>
  </sheetData>
  <mergeCells count="5">
    <mergeCell ref="A2:N2"/>
    <mergeCell ref="B4:N4"/>
    <mergeCell ref="A12:B12"/>
    <mergeCell ref="B9:N9"/>
    <mergeCell ref="A4: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3"/>
  <sheetViews>
    <sheetView zoomScale="70" zoomScaleNormal="7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21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2.5" customHeight="1" x14ac:dyDescent="0.25">
      <c r="A5" s="37"/>
      <c r="B5" s="4" t="s">
        <v>14</v>
      </c>
      <c r="C5" s="3">
        <v>22736636</v>
      </c>
      <c r="D5" s="3">
        <v>20213402</v>
      </c>
      <c r="E5" s="3">
        <v>20932602</v>
      </c>
      <c r="F5" s="3">
        <v>19157430</v>
      </c>
      <c r="G5" s="3">
        <v>18274049</v>
      </c>
      <c r="H5" s="3">
        <v>19009425</v>
      </c>
      <c r="I5" s="3">
        <v>18816667</v>
      </c>
      <c r="J5" s="3">
        <v>19987704</v>
      </c>
      <c r="K5" s="3">
        <v>19649022</v>
      </c>
      <c r="L5" s="3">
        <v>21473590</v>
      </c>
      <c r="M5" s="3">
        <v>24210748</v>
      </c>
      <c r="N5" s="3">
        <v>25716399</v>
      </c>
    </row>
    <row r="6" spans="1:14" ht="22.5" customHeight="1" x14ac:dyDescent="0.25">
      <c r="A6" s="37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22.5" customHeight="1" x14ac:dyDescent="0.25">
      <c r="A10" s="37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8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42" t="s">
        <v>18</v>
      </c>
      <c r="B12" s="43"/>
      <c r="C12" s="9">
        <f>SUM(C5:C8)</f>
        <v>22736636</v>
      </c>
      <c r="D12" s="9">
        <f t="shared" ref="D12:N12" si="0">SUM(D5:D8)</f>
        <v>20213402</v>
      </c>
      <c r="E12" s="9">
        <f t="shared" si="0"/>
        <v>20932602</v>
      </c>
      <c r="F12" s="9">
        <f t="shared" si="0"/>
        <v>19157430</v>
      </c>
      <c r="G12" s="9">
        <f t="shared" si="0"/>
        <v>18274049</v>
      </c>
      <c r="H12" s="9">
        <f t="shared" si="0"/>
        <v>19009425</v>
      </c>
      <c r="I12" s="9">
        <f t="shared" si="0"/>
        <v>18816667</v>
      </c>
      <c r="J12" s="9">
        <f t="shared" si="0"/>
        <v>19987704</v>
      </c>
      <c r="K12" s="9">
        <f t="shared" si="0"/>
        <v>19649022</v>
      </c>
      <c r="L12" s="9">
        <f t="shared" si="0"/>
        <v>21473590</v>
      </c>
      <c r="M12" s="9">
        <f t="shared" si="0"/>
        <v>24210748</v>
      </c>
      <c r="N12" s="9">
        <f t="shared" si="0"/>
        <v>25716399</v>
      </c>
    </row>
    <row r="13" spans="1:14" ht="22.5" customHeight="1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1"/>
  <sheetViews>
    <sheetView zoomScale="70" zoomScaleNormal="70" workbookViewId="0">
      <selection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6" ht="42.75" customHeight="1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6" ht="22.5" customHeight="1" x14ac:dyDescent="0.25">
      <c r="A4" s="36" t="s">
        <v>21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6" ht="22.5" customHeight="1" x14ac:dyDescent="0.25">
      <c r="A5" s="37"/>
      <c r="B5" s="4" t="s">
        <v>14</v>
      </c>
      <c r="C5" s="3">
        <f>26605339+2510418</f>
        <v>29115757</v>
      </c>
      <c r="D5" s="3">
        <f>24854126+2176998</f>
        <v>27031124</v>
      </c>
      <c r="E5" s="3">
        <f>27709249+1938870</f>
        <v>29648119</v>
      </c>
      <c r="F5" s="3">
        <v>24570525</v>
      </c>
      <c r="G5" s="3">
        <v>23656047</v>
      </c>
      <c r="H5" s="3">
        <v>21939589</v>
      </c>
      <c r="I5" s="3">
        <v>24126665</v>
      </c>
      <c r="J5" s="3">
        <f>26005032-390726</f>
        <v>25614306</v>
      </c>
      <c r="K5" s="3">
        <v>23064243</v>
      </c>
      <c r="L5" s="3">
        <f>753646+24866731+1663769</f>
        <v>27284146</v>
      </c>
      <c r="M5" s="3">
        <f>1962979+26172772</f>
        <v>28135751</v>
      </c>
      <c r="N5" s="3">
        <f>2448708+27142647</f>
        <v>29591355</v>
      </c>
    </row>
    <row r="6" spans="1:16" ht="22.5" customHeight="1" x14ac:dyDescent="0.25">
      <c r="A6" s="37"/>
      <c r="B6" s="4" t="s">
        <v>15</v>
      </c>
      <c r="C6" s="3">
        <v>125441</v>
      </c>
      <c r="D6" s="3">
        <v>103496</v>
      </c>
      <c r="E6" s="3">
        <v>86854</v>
      </c>
      <c r="F6" s="3">
        <v>69915</v>
      </c>
      <c r="G6" s="3">
        <v>57625</v>
      </c>
      <c r="H6" s="3">
        <v>46869</v>
      </c>
      <c r="I6" s="3">
        <v>47582</v>
      </c>
      <c r="J6" s="3">
        <v>52169</v>
      </c>
      <c r="K6" s="3">
        <v>56135</v>
      </c>
      <c r="L6" s="3">
        <v>78622</v>
      </c>
      <c r="M6" s="3">
        <v>91375</v>
      </c>
      <c r="N6" s="3">
        <f>109201</f>
        <v>109201</v>
      </c>
    </row>
    <row r="7" spans="1:16" ht="22.5" customHeight="1" x14ac:dyDescent="0.25">
      <c r="A7" s="37"/>
      <c r="B7" s="4" t="s">
        <v>16</v>
      </c>
      <c r="C7" s="3">
        <v>1569496</v>
      </c>
      <c r="D7" s="3">
        <v>1271230</v>
      </c>
      <c r="E7" s="3">
        <v>990264</v>
      </c>
      <c r="F7" s="3">
        <v>977084</v>
      </c>
      <c r="G7" s="3">
        <v>720434</v>
      </c>
      <c r="H7" s="3">
        <v>573398</v>
      </c>
      <c r="I7" s="3">
        <v>471738</v>
      </c>
      <c r="J7" s="3">
        <v>681713</v>
      </c>
      <c r="K7" s="3">
        <v>745165</v>
      </c>
      <c r="L7" s="3">
        <f>579071+2700+437308</f>
        <v>1019079</v>
      </c>
      <c r="M7" s="3">
        <f>3087+524914+559705</f>
        <v>1087706</v>
      </c>
      <c r="N7" s="3">
        <f>707812+4851+649402</f>
        <v>1362065</v>
      </c>
    </row>
    <row r="8" spans="1:16" ht="22.5" customHeight="1" x14ac:dyDescent="0.25">
      <c r="A8" s="37"/>
      <c r="B8" s="4" t="s">
        <v>17</v>
      </c>
      <c r="C8" s="3">
        <v>29899</v>
      </c>
      <c r="D8" s="3">
        <v>25625</v>
      </c>
      <c r="E8" s="3">
        <v>25558</v>
      </c>
      <c r="F8" s="3">
        <v>8990</v>
      </c>
      <c r="G8" s="3">
        <v>9242</v>
      </c>
      <c r="H8" s="3">
        <v>11219</v>
      </c>
      <c r="I8" s="3">
        <v>6469.42</v>
      </c>
      <c r="J8" s="3">
        <v>9169</v>
      </c>
      <c r="K8" s="3">
        <v>9247</v>
      </c>
      <c r="L8" s="3">
        <f>4378+7891</f>
        <v>12269</v>
      </c>
      <c r="M8" s="3">
        <f>4774+5487</f>
        <v>10261</v>
      </c>
      <c r="N8" s="3">
        <f>6551+4473</f>
        <v>11024</v>
      </c>
    </row>
    <row r="9" spans="1:16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6" ht="22.5" customHeight="1" x14ac:dyDescent="0.25">
      <c r="A10" s="37"/>
      <c r="B10" s="10"/>
      <c r="C10" s="3">
        <v>17306</v>
      </c>
      <c r="D10" s="3">
        <v>15597</v>
      </c>
      <c r="E10" s="3">
        <v>17530</v>
      </c>
      <c r="F10" s="3">
        <v>1753</v>
      </c>
      <c r="G10" s="3">
        <v>1763</v>
      </c>
      <c r="H10" s="3">
        <v>4933</v>
      </c>
      <c r="I10" s="3">
        <v>2701</v>
      </c>
      <c r="J10" s="3">
        <v>1309</v>
      </c>
      <c r="K10" s="3">
        <v>1635</v>
      </c>
      <c r="L10" s="3">
        <v>1750</v>
      </c>
      <c r="M10" s="3">
        <v>3882</v>
      </c>
      <c r="N10" s="3">
        <v>1670</v>
      </c>
    </row>
    <row r="11" spans="1:16" ht="22.5" customHeight="1" x14ac:dyDescent="0.25">
      <c r="A11" s="42" t="s">
        <v>18</v>
      </c>
      <c r="B11" s="43"/>
      <c r="C11" s="9">
        <f t="shared" ref="C11:L11" si="0">SUM(C5:C10)</f>
        <v>30857899</v>
      </c>
      <c r="D11" s="9">
        <f t="shared" si="0"/>
        <v>28447072</v>
      </c>
      <c r="E11" s="9">
        <f t="shared" si="0"/>
        <v>30768325</v>
      </c>
      <c r="F11" s="9">
        <f t="shared" si="0"/>
        <v>25628267</v>
      </c>
      <c r="G11" s="9">
        <f t="shared" si="0"/>
        <v>24445111</v>
      </c>
      <c r="H11" s="9">
        <f t="shared" si="0"/>
        <v>22576008</v>
      </c>
      <c r="I11" s="9">
        <f t="shared" si="0"/>
        <v>24655155.420000002</v>
      </c>
      <c r="J11" s="9">
        <f t="shared" si="0"/>
        <v>26358666</v>
      </c>
      <c r="K11" s="9">
        <f t="shared" si="0"/>
        <v>23876425</v>
      </c>
      <c r="L11" s="9">
        <f t="shared" si="0"/>
        <v>28395866</v>
      </c>
      <c r="M11" s="9">
        <f>SUM(M5:M10)</f>
        <v>29328975</v>
      </c>
      <c r="N11" s="9">
        <f>SUM(N5:N10)</f>
        <v>31075315</v>
      </c>
    </row>
    <row r="12" spans="1:16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6" ht="22.5" customHeight="1" x14ac:dyDescent="0.25">
      <c r="C14" s="11"/>
    </row>
    <row r="15" spans="1:16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3:16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16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3:16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3:16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3:16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3:16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3:16" ht="22.5" customHeight="1" x14ac:dyDescent="0.25">
      <c r="C25" s="12"/>
      <c r="D25" s="12"/>
      <c r="E25" s="12"/>
      <c r="F25" s="12"/>
      <c r="G25" s="44"/>
      <c r="H25" s="44"/>
      <c r="I25" s="13"/>
      <c r="J25" s="14"/>
      <c r="K25" s="15"/>
      <c r="L25" s="16"/>
      <c r="M25" s="12"/>
      <c r="N25" s="12"/>
      <c r="O25" s="12"/>
      <c r="P25" s="12"/>
    </row>
    <row r="26" spans="3:16" ht="22.5" customHeight="1" x14ac:dyDescent="0.25">
      <c r="C26" s="12"/>
      <c r="D26" s="12"/>
      <c r="E26" s="12"/>
      <c r="F26" s="12"/>
      <c r="G26" s="44"/>
      <c r="H26" s="44"/>
      <c r="I26" s="13"/>
      <c r="J26" s="14"/>
      <c r="K26" s="15"/>
      <c r="L26" s="16"/>
      <c r="M26" s="12"/>
      <c r="N26" s="12"/>
      <c r="O26" s="12"/>
      <c r="P26" s="12"/>
    </row>
    <row r="27" spans="3:16" ht="22.5" customHeight="1" x14ac:dyDescent="0.25">
      <c r="C27" s="12"/>
      <c r="D27" s="12"/>
      <c r="E27" s="12"/>
      <c r="F27" s="12"/>
      <c r="G27" s="44"/>
      <c r="H27" s="44"/>
      <c r="I27" s="13"/>
      <c r="J27" s="14"/>
      <c r="K27" s="15"/>
      <c r="L27" s="16"/>
      <c r="M27" s="12"/>
      <c r="N27" s="12"/>
      <c r="O27" s="12"/>
      <c r="P27" s="12"/>
    </row>
    <row r="28" spans="3:16" ht="22.5" customHeight="1" x14ac:dyDescent="0.25">
      <c r="C28" s="12"/>
      <c r="D28" s="12"/>
      <c r="E28" s="12"/>
      <c r="F28" s="12"/>
      <c r="G28" s="12"/>
      <c r="H28" s="12"/>
      <c r="I28" s="12"/>
      <c r="J28" s="17"/>
      <c r="K28" s="15"/>
      <c r="L28" s="16"/>
      <c r="M28" s="12"/>
      <c r="N28" s="12"/>
      <c r="O28" s="12"/>
      <c r="P28" s="12"/>
    </row>
    <row r="29" spans="3:16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5"/>
      <c r="L29" s="16"/>
      <c r="M29" s="12"/>
      <c r="N29" s="12"/>
      <c r="O29" s="12"/>
      <c r="P29" s="12"/>
    </row>
    <row r="30" spans="3:16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5"/>
      <c r="L30" s="16"/>
      <c r="M30" s="12"/>
      <c r="N30" s="12"/>
      <c r="O30" s="12"/>
      <c r="P30" s="12"/>
    </row>
    <row r="31" spans="3:16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</sheetData>
  <mergeCells count="8">
    <mergeCell ref="G25:H25"/>
    <mergeCell ref="G26:H26"/>
    <mergeCell ref="G27:H27"/>
    <mergeCell ref="A2:N2"/>
    <mergeCell ref="A4:A10"/>
    <mergeCell ref="B4:N4"/>
    <mergeCell ref="B9:N9"/>
    <mergeCell ref="A11:B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zoomScale="70" zoomScaleNormal="70" workbookViewId="0">
      <selection activeCell="N7" sqref="N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6" ht="42.75" customHeight="1" x14ac:dyDescent="0.2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6" ht="22.5" customHeight="1" x14ac:dyDescent="0.25">
      <c r="A4" s="36" t="s">
        <v>21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6" ht="22.5" customHeight="1" x14ac:dyDescent="0.25">
      <c r="A5" s="37"/>
      <c r="B5" s="4" t="s">
        <v>14</v>
      </c>
      <c r="C5" s="3">
        <f>2350163+28887487</f>
        <v>31237650</v>
      </c>
      <c r="D5" s="3">
        <f>2150488+26591583+686796</f>
        <v>29428867</v>
      </c>
      <c r="E5" s="3">
        <v>32201671</v>
      </c>
      <c r="F5" s="3">
        <f>25905445+1390547</f>
        <v>27295992</v>
      </c>
      <c r="G5" s="3">
        <f>972920+25232836</f>
        <v>26205756</v>
      </c>
      <c r="H5" s="3">
        <f>24183716+861502</f>
        <v>25045218</v>
      </c>
      <c r="I5" s="3">
        <f>24894839+899771</f>
        <v>25794610</v>
      </c>
      <c r="J5" s="3">
        <f>649318+24561295+898068</f>
        <v>26108681</v>
      </c>
      <c r="K5" s="3">
        <f>23610996+1008014</f>
        <v>24619010</v>
      </c>
      <c r="L5" s="3">
        <f>25832352+1526114</f>
        <v>27358466</v>
      </c>
      <c r="M5" s="3">
        <f>27834778+2024751</f>
        <v>29859529</v>
      </c>
      <c r="N5" s="3">
        <f>28852025+2512986</f>
        <v>31365011</v>
      </c>
    </row>
    <row r="6" spans="1:16" ht="22.5" customHeight="1" x14ac:dyDescent="0.25">
      <c r="A6" s="37"/>
      <c r="B6" s="4" t="s">
        <v>15</v>
      </c>
      <c r="C6" s="3">
        <v>112918</v>
      </c>
      <c r="D6" s="3">
        <v>112485</v>
      </c>
      <c r="E6" s="3">
        <v>116034</v>
      </c>
      <c r="F6" s="3">
        <v>69444</v>
      </c>
      <c r="G6" s="3">
        <v>63299</v>
      </c>
      <c r="H6" s="3">
        <v>68003</v>
      </c>
      <c r="I6" s="3">
        <v>49705</v>
      </c>
      <c r="J6" s="3">
        <v>50415</v>
      </c>
      <c r="K6" s="3">
        <v>53666</v>
      </c>
      <c r="L6" s="3">
        <v>67215</v>
      </c>
      <c r="M6" s="3">
        <v>87984</v>
      </c>
      <c r="N6" s="3">
        <v>109561</v>
      </c>
    </row>
    <row r="7" spans="1:16" ht="22.5" customHeight="1" x14ac:dyDescent="0.25">
      <c r="A7" s="37"/>
      <c r="B7" s="4" t="s">
        <v>16</v>
      </c>
      <c r="C7" s="3">
        <f>2583+669891+763576</f>
        <v>1436050</v>
      </c>
      <c r="D7" s="3">
        <f>533343+728340</f>
        <v>1261683</v>
      </c>
      <c r="E7" s="3">
        <v>591775</v>
      </c>
      <c r="F7" s="3">
        <v>471813</v>
      </c>
      <c r="G7" s="3">
        <v>334361</v>
      </c>
      <c r="H7" s="3">
        <v>251628</v>
      </c>
      <c r="I7" s="3">
        <v>272485</v>
      </c>
      <c r="J7" s="3">
        <v>269908</v>
      </c>
      <c r="K7" s="3">
        <v>298467</v>
      </c>
      <c r="L7" s="3">
        <v>436289</v>
      </c>
      <c r="M7" s="3">
        <v>527997</v>
      </c>
      <c r="N7" s="3">
        <v>711334</v>
      </c>
    </row>
    <row r="8" spans="1:16" ht="22.5" customHeight="1" x14ac:dyDescent="0.25">
      <c r="A8" s="37"/>
      <c r="B8" s="4" t="s">
        <v>17</v>
      </c>
      <c r="C8" s="3">
        <f>5654+7195</f>
        <v>12849</v>
      </c>
      <c r="D8" s="3">
        <v>7056</v>
      </c>
      <c r="E8" s="3">
        <v>5659</v>
      </c>
      <c r="F8" s="3">
        <v>11081</v>
      </c>
      <c r="G8" s="3">
        <v>4518</v>
      </c>
      <c r="H8" s="3">
        <v>7003</v>
      </c>
      <c r="I8" s="3">
        <v>3561</v>
      </c>
      <c r="J8" s="3">
        <v>5274</v>
      </c>
      <c r="K8" s="3">
        <v>5402</v>
      </c>
      <c r="L8" s="3">
        <v>5173</v>
      </c>
      <c r="M8" s="3">
        <v>5230</v>
      </c>
      <c r="N8" s="3">
        <v>5889</v>
      </c>
    </row>
    <row r="9" spans="1:16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6" ht="22.5" customHeight="1" x14ac:dyDescent="0.25">
      <c r="A10" s="37"/>
      <c r="B10" s="10"/>
      <c r="C10" s="3">
        <v>3089</v>
      </c>
      <c r="D10" s="3">
        <v>1845</v>
      </c>
      <c r="E10" s="3">
        <v>2447</v>
      </c>
      <c r="F10" s="3">
        <v>1873</v>
      </c>
      <c r="G10" s="3">
        <v>631</v>
      </c>
      <c r="H10" s="3">
        <v>2677</v>
      </c>
      <c r="I10" s="3">
        <v>1806</v>
      </c>
      <c r="J10" s="3">
        <v>6732</v>
      </c>
      <c r="K10" s="3">
        <v>1887</v>
      </c>
      <c r="L10" s="3">
        <v>2546</v>
      </c>
      <c r="M10" s="3">
        <v>1608</v>
      </c>
      <c r="N10" s="3">
        <v>1991</v>
      </c>
    </row>
    <row r="11" spans="1:16" ht="22.5" customHeight="1" x14ac:dyDescent="0.25">
      <c r="A11" s="42" t="s">
        <v>18</v>
      </c>
      <c r="B11" s="43"/>
      <c r="C11" s="9">
        <f t="shared" ref="C11:L11" si="0">SUM(C5:C10)</f>
        <v>32802556</v>
      </c>
      <c r="D11" s="9">
        <f>SUM(D5:D10)</f>
        <v>30811936</v>
      </c>
      <c r="E11" s="9">
        <f t="shared" si="0"/>
        <v>32917586</v>
      </c>
      <c r="F11" s="9">
        <f t="shared" si="0"/>
        <v>27850203</v>
      </c>
      <c r="G11" s="9">
        <f t="shared" si="0"/>
        <v>26608565</v>
      </c>
      <c r="H11" s="9">
        <f t="shared" si="0"/>
        <v>25374529</v>
      </c>
      <c r="I11" s="9">
        <f t="shared" si="0"/>
        <v>26122167</v>
      </c>
      <c r="J11" s="9">
        <f t="shared" si="0"/>
        <v>26441010</v>
      </c>
      <c r="K11" s="9">
        <f t="shared" si="0"/>
        <v>24978432</v>
      </c>
      <c r="L11" s="9">
        <f t="shared" si="0"/>
        <v>27869689</v>
      </c>
      <c r="M11" s="9">
        <f>SUM(M5:M10)</f>
        <v>30482348</v>
      </c>
      <c r="N11" s="9">
        <f>SUM(N5:N10)</f>
        <v>32193786</v>
      </c>
    </row>
    <row r="12" spans="1:16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6" ht="22.5" customHeight="1" x14ac:dyDescent="0.25">
      <c r="C14" s="11"/>
    </row>
    <row r="15" spans="1:16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3:16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16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3:16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3:16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3:16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3:16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3:16" ht="22.5" customHeight="1" x14ac:dyDescent="0.25">
      <c r="C25" s="12"/>
      <c r="D25" s="12"/>
      <c r="E25" s="12"/>
      <c r="F25" s="12"/>
      <c r="G25" s="44"/>
      <c r="H25" s="44"/>
      <c r="I25" s="13"/>
      <c r="J25" s="14"/>
      <c r="K25" s="15"/>
      <c r="L25" s="16"/>
      <c r="M25" s="12"/>
      <c r="N25" s="12"/>
      <c r="O25" s="12"/>
      <c r="P25" s="12"/>
    </row>
    <row r="26" spans="3:16" ht="22.5" customHeight="1" x14ac:dyDescent="0.25">
      <c r="C26" s="12"/>
      <c r="D26" s="12"/>
      <c r="E26" s="12"/>
      <c r="F26" s="12"/>
      <c r="G26" s="44"/>
      <c r="H26" s="44"/>
      <c r="I26" s="13"/>
      <c r="J26" s="14"/>
      <c r="K26" s="15"/>
      <c r="L26" s="16"/>
      <c r="M26" s="12"/>
      <c r="N26" s="12"/>
      <c r="O26" s="12"/>
      <c r="P26" s="12"/>
    </row>
    <row r="27" spans="3:16" ht="22.5" customHeight="1" x14ac:dyDescent="0.25">
      <c r="C27" s="12"/>
      <c r="D27" s="12"/>
      <c r="E27" s="12"/>
      <c r="F27" s="12"/>
      <c r="G27" s="44"/>
      <c r="H27" s="44"/>
      <c r="I27" s="13"/>
      <c r="J27" s="14"/>
      <c r="K27" s="15"/>
      <c r="L27" s="16"/>
      <c r="M27" s="12"/>
      <c r="N27" s="12"/>
      <c r="O27" s="12"/>
      <c r="P27" s="12"/>
    </row>
    <row r="28" spans="3:16" ht="22.5" customHeight="1" x14ac:dyDescent="0.25">
      <c r="C28" s="12"/>
      <c r="D28" s="12"/>
      <c r="E28" s="12"/>
      <c r="F28" s="12"/>
      <c r="G28" s="12"/>
      <c r="H28" s="12"/>
      <c r="I28" s="12"/>
      <c r="J28" s="17"/>
      <c r="K28" s="15"/>
      <c r="L28" s="16"/>
      <c r="M28" s="12"/>
      <c r="N28" s="12"/>
      <c r="O28" s="12"/>
      <c r="P28" s="12"/>
    </row>
    <row r="29" spans="3:16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5"/>
      <c r="L29" s="16"/>
      <c r="M29" s="12"/>
      <c r="N29" s="12"/>
      <c r="O29" s="12"/>
      <c r="P29" s="12"/>
    </row>
    <row r="30" spans="3:16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5"/>
      <c r="L30" s="16"/>
      <c r="M30" s="12"/>
      <c r="N30" s="12"/>
      <c r="O30" s="12"/>
      <c r="P30" s="12"/>
    </row>
    <row r="31" spans="3:16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</sheetData>
  <mergeCells count="8">
    <mergeCell ref="G26:H26"/>
    <mergeCell ref="G27:H27"/>
    <mergeCell ref="A2:N2"/>
    <mergeCell ref="A4:A10"/>
    <mergeCell ref="B4:N4"/>
    <mergeCell ref="B9:N9"/>
    <mergeCell ref="A11:B11"/>
    <mergeCell ref="G25:H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opLeftCell="B1" zoomScale="75" zoomScaleNormal="75" workbookViewId="0">
      <selection activeCell="N7" sqref="N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140625" style="1" customWidth="1"/>
    <col min="15" max="15" width="0" style="22" hidden="1" customWidth="1"/>
    <col min="16" max="16" width="9.140625" style="19"/>
    <col min="17" max="17" width="11.5703125" style="19" bestFit="1" customWidth="1"/>
    <col min="18" max="16384" width="9.140625" style="1"/>
  </cols>
  <sheetData>
    <row r="2" spans="1:17" ht="42.75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23"/>
      <c r="P3" s="20"/>
      <c r="Q3" s="20"/>
    </row>
    <row r="4" spans="1:17" ht="22.5" customHeight="1" x14ac:dyDescent="0.25">
      <c r="A4" s="36" t="s">
        <v>21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7" ht="22.5" customHeight="1" x14ac:dyDescent="0.25">
      <c r="A5" s="37"/>
      <c r="B5" s="4" t="s">
        <v>14</v>
      </c>
      <c r="C5" s="3">
        <f>28213253+2496293</f>
        <v>30709546</v>
      </c>
      <c r="D5" s="3">
        <f>23823774+1973732</f>
        <v>25797506</v>
      </c>
      <c r="E5" s="3">
        <f>26589079+1907652</f>
        <v>28496731</v>
      </c>
      <c r="F5" s="3">
        <f>23257713+1303455</f>
        <v>24561168</v>
      </c>
      <c r="G5" s="3">
        <f>21862081+992691</f>
        <v>22854772</v>
      </c>
      <c r="H5" s="3">
        <f>20993308+688895</f>
        <v>21682203</v>
      </c>
      <c r="I5" s="3">
        <f>21293524+791153-42</f>
        <v>22084635</v>
      </c>
      <c r="J5" s="3">
        <f>22324378+858807</f>
        <v>23183185</v>
      </c>
      <c r="K5" s="3">
        <f>21959736+1097869</f>
        <v>23057605</v>
      </c>
      <c r="L5" s="3">
        <f>22905399+1381176</f>
        <v>24286575</v>
      </c>
      <c r="M5" s="3">
        <f>23019278+1683877</f>
        <v>24703155</v>
      </c>
      <c r="N5" s="3">
        <f>22791726+2058564</f>
        <v>24850290</v>
      </c>
      <c r="O5" s="22">
        <f>L5/K5</f>
        <v>1.0532999849724201</v>
      </c>
      <c r="P5" s="19">
        <f>N5/M5</f>
        <v>1.0059561217990172</v>
      </c>
      <c r="Q5" s="18">
        <f>AVERAGE(C5:N5)</f>
        <v>24688947.583333332</v>
      </c>
    </row>
    <row r="6" spans="1:17" ht="22.5" customHeight="1" x14ac:dyDescent="0.25">
      <c r="A6" s="37"/>
      <c r="B6" s="4" t="s">
        <v>15</v>
      </c>
      <c r="C6" s="3">
        <v>109414</v>
      </c>
      <c r="D6" s="3">
        <v>96971</v>
      </c>
      <c r="E6" s="3">
        <v>95584</v>
      </c>
      <c r="F6" s="3">
        <v>74803</v>
      </c>
      <c r="G6" s="3">
        <v>56816</v>
      </c>
      <c r="H6" s="3">
        <v>49586</v>
      </c>
      <c r="I6" s="3">
        <v>55015</v>
      </c>
      <c r="J6" s="3">
        <v>52818</v>
      </c>
      <c r="K6" s="3">
        <v>57855</v>
      </c>
      <c r="L6" s="3">
        <v>71343</v>
      </c>
      <c r="M6" s="3">
        <v>82093</v>
      </c>
      <c r="N6" s="3">
        <v>91355</v>
      </c>
      <c r="O6" s="22">
        <f t="shared" ref="O6:O8" si="0">L6/K6</f>
        <v>1.2331345605392792</v>
      </c>
      <c r="P6" s="19">
        <f t="shared" ref="P6:P8" si="1">N6/M6</f>
        <v>1.1128232614230202</v>
      </c>
      <c r="Q6" s="18">
        <f t="shared" ref="Q6:Q10" si="2">AVERAGE(C6:N6)</f>
        <v>74471.083333333328</v>
      </c>
    </row>
    <row r="7" spans="1:17" ht="22.5" customHeight="1" x14ac:dyDescent="0.25">
      <c r="A7" s="37"/>
      <c r="B7" s="4" t="s">
        <v>16</v>
      </c>
      <c r="C7" s="3">
        <v>778525</v>
      </c>
      <c r="D7" s="3">
        <v>596678</v>
      </c>
      <c r="E7" s="3">
        <v>526577</v>
      </c>
      <c r="F7" s="3">
        <v>399760</v>
      </c>
      <c r="G7" s="3">
        <v>315010</v>
      </c>
      <c r="H7" s="3">
        <v>284618</v>
      </c>
      <c r="I7" s="3">
        <v>353638</v>
      </c>
      <c r="J7" s="3">
        <v>319985</v>
      </c>
      <c r="K7" s="3">
        <v>325238</v>
      </c>
      <c r="L7" s="3">
        <v>380676</v>
      </c>
      <c r="M7" s="3">
        <v>486047</v>
      </c>
      <c r="N7" s="3">
        <v>578717</v>
      </c>
      <c r="O7" s="22">
        <f t="shared" si="0"/>
        <v>1.1704536370288834</v>
      </c>
      <c r="P7" s="19">
        <f t="shared" si="1"/>
        <v>1.1906605739774136</v>
      </c>
      <c r="Q7" s="18">
        <f t="shared" si="2"/>
        <v>445455.75</v>
      </c>
    </row>
    <row r="8" spans="1:17" ht="22.5" customHeight="1" x14ac:dyDescent="0.25">
      <c r="A8" s="37"/>
      <c r="B8" s="4" t="s">
        <v>17</v>
      </c>
      <c r="C8" s="3">
        <v>5991</v>
      </c>
      <c r="D8" s="3">
        <v>5829</v>
      </c>
      <c r="E8" s="3">
        <v>4963</v>
      </c>
      <c r="F8" s="3">
        <v>4719</v>
      </c>
      <c r="G8" s="3">
        <v>4506</v>
      </c>
      <c r="H8" s="3">
        <v>4585</v>
      </c>
      <c r="I8" s="3">
        <v>11327</v>
      </c>
      <c r="J8" s="3">
        <v>3609</v>
      </c>
      <c r="K8" s="3">
        <v>4250</v>
      </c>
      <c r="L8" s="3">
        <v>5245</v>
      </c>
      <c r="M8" s="3">
        <v>5407</v>
      </c>
      <c r="N8" s="3">
        <v>4661</v>
      </c>
      <c r="O8" s="22">
        <f t="shared" si="0"/>
        <v>1.2341176470588235</v>
      </c>
      <c r="P8" s="19">
        <f t="shared" si="1"/>
        <v>0.86203070094322176</v>
      </c>
      <c r="Q8" s="18">
        <f t="shared" si="2"/>
        <v>5424.333333333333</v>
      </c>
    </row>
    <row r="9" spans="1:17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Q9" s="18"/>
    </row>
    <row r="10" spans="1:17" ht="22.5" customHeight="1" x14ac:dyDescent="0.25">
      <c r="A10" s="37"/>
      <c r="B10" s="10"/>
      <c r="C10" s="3">
        <v>2358</v>
      </c>
      <c r="D10" s="3">
        <v>2675</v>
      </c>
      <c r="E10" s="3">
        <v>6837</v>
      </c>
      <c r="F10" s="3">
        <v>72</v>
      </c>
      <c r="G10" s="3">
        <v>3586</v>
      </c>
      <c r="H10" s="3">
        <v>1427</v>
      </c>
      <c r="I10" s="3">
        <v>2624</v>
      </c>
      <c r="J10" s="3">
        <v>1103</v>
      </c>
      <c r="K10" s="3">
        <v>2794</v>
      </c>
      <c r="L10" s="3">
        <v>282</v>
      </c>
      <c r="M10" s="3">
        <v>1224</v>
      </c>
      <c r="N10" s="3">
        <v>1422</v>
      </c>
      <c r="O10" s="22">
        <f>L10/K10</f>
        <v>0.10093056549749463</v>
      </c>
      <c r="P10" s="19">
        <f>N10/M10</f>
        <v>1.161764705882353</v>
      </c>
      <c r="Q10" s="18">
        <f t="shared" si="2"/>
        <v>2200.3333333333335</v>
      </c>
    </row>
    <row r="11" spans="1:17" ht="22.5" customHeight="1" x14ac:dyDescent="0.25">
      <c r="A11" s="42" t="s">
        <v>18</v>
      </c>
      <c r="B11" s="43"/>
      <c r="C11" s="9">
        <f t="shared" ref="C11:L11" si="3">SUM(C5:C10)</f>
        <v>31605834</v>
      </c>
      <c r="D11" s="9">
        <f>SUM(D5:D10)</f>
        <v>26499659</v>
      </c>
      <c r="E11" s="9">
        <f t="shared" si="3"/>
        <v>29130692</v>
      </c>
      <c r="F11" s="9">
        <f t="shared" si="3"/>
        <v>25040522</v>
      </c>
      <c r="G11" s="9">
        <f t="shared" si="3"/>
        <v>23234690</v>
      </c>
      <c r="H11" s="9">
        <f t="shared" si="3"/>
        <v>22022419</v>
      </c>
      <c r="I11" s="9">
        <f t="shared" si="3"/>
        <v>22507239</v>
      </c>
      <c r="J11" s="9">
        <f t="shared" si="3"/>
        <v>23560700</v>
      </c>
      <c r="K11" s="9">
        <f t="shared" si="3"/>
        <v>23447742</v>
      </c>
      <c r="L11" s="9">
        <f t="shared" si="3"/>
        <v>24744121</v>
      </c>
      <c r="M11" s="9">
        <f>SUM(M5:M10)</f>
        <v>25277926</v>
      </c>
      <c r="N11" s="9">
        <f>SUM(N5:N10)</f>
        <v>25526445</v>
      </c>
    </row>
    <row r="12" spans="1:17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7" ht="22.5" customHeight="1" x14ac:dyDescent="0.25">
      <c r="C14" s="11"/>
    </row>
    <row r="15" spans="1:17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4"/>
      <c r="P15" s="25"/>
    </row>
    <row r="16" spans="1:17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4"/>
      <c r="P16" s="25"/>
    </row>
    <row r="17" spans="3:16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4"/>
      <c r="P17" s="25"/>
    </row>
    <row r="18" spans="3:16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4"/>
      <c r="P18" s="25"/>
    </row>
    <row r="19" spans="3:16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24"/>
      <c r="P19" s="25"/>
    </row>
    <row r="20" spans="3:16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24"/>
      <c r="P20" s="25"/>
    </row>
    <row r="21" spans="3:16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4"/>
      <c r="P21" s="25"/>
    </row>
    <row r="22" spans="3:16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24"/>
      <c r="P22" s="25"/>
    </row>
    <row r="23" spans="3:16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24"/>
      <c r="P23" s="25"/>
    </row>
    <row r="24" spans="3:16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24"/>
      <c r="P24" s="25"/>
    </row>
    <row r="25" spans="3:16" ht="22.5" customHeight="1" x14ac:dyDescent="0.25">
      <c r="C25" s="12"/>
      <c r="D25" s="12"/>
      <c r="E25" s="12"/>
      <c r="F25" s="12"/>
      <c r="G25" s="44"/>
      <c r="H25" s="44"/>
      <c r="I25" s="13"/>
      <c r="J25" s="14"/>
      <c r="K25" s="15"/>
      <c r="L25" s="16"/>
      <c r="M25" s="12"/>
      <c r="N25" s="12"/>
      <c r="O25" s="24"/>
      <c r="P25" s="25"/>
    </row>
    <row r="26" spans="3:16" ht="22.5" customHeight="1" x14ac:dyDescent="0.25">
      <c r="C26" s="12"/>
      <c r="D26" s="12"/>
      <c r="E26" s="12"/>
      <c r="F26" s="12"/>
      <c r="G26" s="44"/>
      <c r="H26" s="44"/>
      <c r="I26" s="13"/>
      <c r="J26" s="14"/>
      <c r="K26" s="15"/>
      <c r="L26" s="16"/>
      <c r="M26" s="12"/>
      <c r="N26" s="12"/>
      <c r="O26" s="24"/>
      <c r="P26" s="25"/>
    </row>
    <row r="27" spans="3:16" ht="22.5" customHeight="1" x14ac:dyDescent="0.25">
      <c r="C27" s="12"/>
      <c r="D27" s="12"/>
      <c r="E27" s="12"/>
      <c r="F27" s="12"/>
      <c r="G27" s="44"/>
      <c r="H27" s="44"/>
      <c r="I27" s="13"/>
      <c r="J27" s="14"/>
      <c r="K27" s="15"/>
      <c r="L27" s="16"/>
      <c r="M27" s="12"/>
      <c r="N27" s="12"/>
      <c r="O27" s="24"/>
      <c r="P27" s="25"/>
    </row>
    <row r="28" spans="3:16" ht="22.5" customHeight="1" x14ac:dyDescent="0.25">
      <c r="C28" s="12"/>
      <c r="D28" s="12"/>
      <c r="E28" s="12"/>
      <c r="F28" s="12"/>
      <c r="G28" s="12"/>
      <c r="H28" s="12"/>
      <c r="I28" s="12"/>
      <c r="J28" s="17"/>
      <c r="K28" s="15"/>
      <c r="L28" s="16"/>
      <c r="M28" s="12"/>
      <c r="N28" s="12"/>
      <c r="O28" s="24"/>
      <c r="P28" s="25"/>
    </row>
    <row r="29" spans="3:16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5"/>
      <c r="L29" s="16"/>
      <c r="M29" s="12"/>
      <c r="N29" s="12"/>
      <c r="O29" s="24"/>
      <c r="P29" s="25"/>
    </row>
    <row r="30" spans="3:16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5"/>
      <c r="L30" s="16"/>
      <c r="M30" s="12"/>
      <c r="N30" s="12"/>
      <c r="O30" s="24"/>
      <c r="P30" s="25"/>
    </row>
    <row r="31" spans="3:16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24"/>
      <c r="P31" s="25"/>
    </row>
  </sheetData>
  <mergeCells count="8">
    <mergeCell ref="G26:H26"/>
    <mergeCell ref="G27:H27"/>
    <mergeCell ref="A2:N2"/>
    <mergeCell ref="A4:A10"/>
    <mergeCell ref="B4:N4"/>
    <mergeCell ref="B9:N9"/>
    <mergeCell ref="A11:B11"/>
    <mergeCell ref="G25:H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1"/>
  <sheetViews>
    <sheetView topLeftCell="B1"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20.140625" style="1" customWidth="1"/>
    <col min="3" max="6" width="19.140625" style="1" customWidth="1"/>
    <col min="7" max="7" width="19.140625" style="1" hidden="1" customWidth="1"/>
    <col min="8" max="8" width="19.140625" style="1" customWidth="1"/>
    <col min="9" max="9" width="19.140625" style="1" hidden="1" customWidth="1"/>
    <col min="10" max="10" width="19.140625" style="1" customWidth="1"/>
    <col min="11" max="11" width="19.140625" style="1" hidden="1" customWidth="1"/>
    <col min="12" max="12" width="19.140625" style="1" customWidth="1"/>
    <col min="13" max="13" width="19.140625" style="1" hidden="1" customWidth="1"/>
    <col min="14" max="14" width="19.140625" style="1" customWidth="1"/>
    <col min="15" max="15" width="19.140625" style="1" hidden="1" customWidth="1"/>
    <col min="16" max="16" width="19.140625" style="1" customWidth="1"/>
    <col min="17" max="17" width="19.140625" style="1" hidden="1" customWidth="1"/>
    <col min="18" max="18" width="19.140625" style="1" customWidth="1"/>
    <col min="19" max="19" width="19.140625" style="1" hidden="1" customWidth="1"/>
    <col min="20" max="20" width="19.140625" style="1" customWidth="1"/>
    <col min="21" max="21" width="19.140625" style="1" hidden="1" customWidth="1"/>
    <col min="22" max="22" width="19.140625" style="1" customWidth="1"/>
    <col min="23" max="23" width="12.7109375" style="19" bestFit="1" customWidth="1"/>
    <col min="24" max="16384" width="9.140625" style="1"/>
  </cols>
  <sheetData>
    <row r="2" spans="1:24" ht="42.75" customHeight="1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20"/>
    </row>
    <row r="4" spans="1:24" ht="22.5" customHeight="1" x14ac:dyDescent="0.25">
      <c r="A4" s="36" t="s">
        <v>32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1:24" ht="22.5" customHeight="1" x14ac:dyDescent="0.25">
      <c r="A5" s="37"/>
      <c r="B5" s="4" t="s">
        <v>14</v>
      </c>
      <c r="C5" s="3">
        <f>20950210+2081557</f>
        <v>23031767</v>
      </c>
      <c r="D5" s="3">
        <f>18067383+1952244</f>
        <v>20019627</v>
      </c>
      <c r="E5" s="3">
        <f>19413851+1774050</f>
        <v>21187901</v>
      </c>
      <c r="F5" s="3">
        <f>15910330+1449559</f>
        <v>17359889</v>
      </c>
      <c r="G5" s="3">
        <v>0.93052463954482945</v>
      </c>
      <c r="H5" s="3">
        <f>171886+14902755+1258917</f>
        <v>16333558</v>
      </c>
      <c r="I5" s="3">
        <v>0.94869478461653434</v>
      </c>
      <c r="J5" s="3">
        <f>15437876+885599</f>
        <v>16323475</v>
      </c>
      <c r="K5" s="3">
        <v>1.0185604756121875</v>
      </c>
      <c r="L5" s="3">
        <f>17307573+898253</f>
        <v>18205826</v>
      </c>
      <c r="M5" s="3">
        <v>1.0497427283720107</v>
      </c>
      <c r="N5" s="3">
        <f>18132875+767975</f>
        <v>18900850</v>
      </c>
      <c r="O5" s="3">
        <v>0.99458314291155425</v>
      </c>
      <c r="P5" s="3">
        <f>17292549+1026550</f>
        <v>18319099</v>
      </c>
      <c r="Q5" s="3">
        <v>1.0532999849724201</v>
      </c>
      <c r="R5" s="3">
        <f>17292549+1374106</f>
        <v>18666655</v>
      </c>
      <c r="S5" s="3">
        <v>1.0171526862062683</v>
      </c>
      <c r="T5" s="3">
        <f>18039099+1682051</f>
        <v>19721150</v>
      </c>
      <c r="U5" s="3">
        <v>1.0059561217990172</v>
      </c>
      <c r="V5" s="3">
        <f>19356696+2294277</f>
        <v>21650973</v>
      </c>
      <c r="W5" s="19">
        <f>'2021'!C5/'2020'!V5</f>
        <v>0.96155087348730239</v>
      </c>
    </row>
    <row r="6" spans="1:24" ht="22.5" customHeight="1" x14ac:dyDescent="0.25">
      <c r="A6" s="37"/>
      <c r="B6" s="4" t="s">
        <v>15</v>
      </c>
      <c r="C6" s="3">
        <v>89240</v>
      </c>
      <c r="D6" s="3">
        <v>79471</v>
      </c>
      <c r="E6" s="3">
        <v>68043</v>
      </c>
      <c r="F6" s="3">
        <v>68234</v>
      </c>
      <c r="G6" s="3">
        <v>0.75954172960977506</v>
      </c>
      <c r="H6" s="3">
        <v>71820</v>
      </c>
      <c r="I6" s="3">
        <v>0.87274711348915801</v>
      </c>
      <c r="J6" s="3">
        <v>55325</v>
      </c>
      <c r="K6" s="3">
        <v>1.1094865486225951</v>
      </c>
      <c r="L6" s="3">
        <v>54276</v>
      </c>
      <c r="M6" s="3">
        <v>0.96006543669908206</v>
      </c>
      <c r="N6" s="3">
        <v>46457</v>
      </c>
      <c r="O6" s="3">
        <v>1.0953652164034988</v>
      </c>
      <c r="P6" s="3">
        <v>53261</v>
      </c>
      <c r="Q6" s="3">
        <v>1.2331345605392792</v>
      </c>
      <c r="R6" s="3">
        <v>68661</v>
      </c>
      <c r="S6" s="3">
        <v>1.1506805152572783</v>
      </c>
      <c r="T6" s="3">
        <v>93932</v>
      </c>
      <c r="U6" s="3">
        <v>1.1128232614230202</v>
      </c>
      <c r="V6" s="3">
        <v>124746</v>
      </c>
      <c r="W6" s="19">
        <f>'2021'!C6/'2020'!V6</f>
        <v>1.0727317909993106</v>
      </c>
    </row>
    <row r="7" spans="1:24" ht="22.5" customHeight="1" x14ac:dyDescent="0.25">
      <c r="A7" s="37"/>
      <c r="B7" s="4" t="s">
        <v>16</v>
      </c>
      <c r="C7" s="3">
        <v>605489</v>
      </c>
      <c r="D7" s="3">
        <v>542044</v>
      </c>
      <c r="E7" s="3">
        <v>538625</v>
      </c>
      <c r="F7" s="3">
        <v>459892</v>
      </c>
      <c r="G7" s="3">
        <v>0.7879977986792075</v>
      </c>
      <c r="H7" s="3">
        <v>337214</v>
      </c>
      <c r="I7" s="3">
        <v>0.90352052315799503</v>
      </c>
      <c r="J7" s="3">
        <v>244848</v>
      </c>
      <c r="K7" s="3">
        <v>1.2425004743199657</v>
      </c>
      <c r="L7" s="3">
        <v>250840</v>
      </c>
      <c r="M7" s="3">
        <v>0.90483771540388758</v>
      </c>
      <c r="N7" s="3">
        <v>246706</v>
      </c>
      <c r="O7" s="3">
        <v>1.016416394518493</v>
      </c>
      <c r="P7" s="3">
        <v>290499</v>
      </c>
      <c r="Q7" s="3">
        <v>1.1704536370288834</v>
      </c>
      <c r="R7" s="3">
        <v>330430</v>
      </c>
      <c r="S7" s="3">
        <v>1.2767996931774002</v>
      </c>
      <c r="T7" s="3">
        <v>532185</v>
      </c>
      <c r="U7" s="3">
        <v>1.1906605739774136</v>
      </c>
      <c r="V7" s="3">
        <v>581262</v>
      </c>
      <c r="W7" s="19">
        <f>'2021'!C7/'2020'!V7</f>
        <v>1.0228984519889481</v>
      </c>
    </row>
    <row r="8" spans="1:24" ht="22.5" customHeight="1" x14ac:dyDescent="0.25">
      <c r="A8" s="37"/>
      <c r="B8" s="4" t="s">
        <v>17</v>
      </c>
      <c r="C8" s="3">
        <v>5108</v>
      </c>
      <c r="D8" s="3">
        <v>4686</v>
      </c>
      <c r="E8" s="3">
        <v>4276</v>
      </c>
      <c r="F8" s="3">
        <v>5140</v>
      </c>
      <c r="G8" s="3">
        <v>0.95486331849968209</v>
      </c>
      <c r="H8" s="3">
        <v>3819</v>
      </c>
      <c r="I8" s="3">
        <v>1.0175321793164669</v>
      </c>
      <c r="J8" s="3">
        <v>4682</v>
      </c>
      <c r="K8" s="3">
        <v>2.4704471101417664</v>
      </c>
      <c r="L8" s="3">
        <v>5411</v>
      </c>
      <c r="M8" s="3">
        <v>0.31861922839233692</v>
      </c>
      <c r="N8" s="3">
        <v>1956</v>
      </c>
      <c r="O8" s="3">
        <v>1.1776115267387088</v>
      </c>
      <c r="P8" s="3">
        <v>3971</v>
      </c>
      <c r="Q8" s="3">
        <v>1.2341176470588235</v>
      </c>
      <c r="R8" s="3">
        <v>3435</v>
      </c>
      <c r="S8" s="3">
        <v>1.030886558627264</v>
      </c>
      <c r="T8" s="3">
        <v>4234</v>
      </c>
      <c r="U8" s="3">
        <v>0.86203070094322176</v>
      </c>
      <c r="V8" s="3">
        <v>3725</v>
      </c>
      <c r="W8" s="19">
        <f>'2021'!C8/'2020'!V8</f>
        <v>3.7790604026845638</v>
      </c>
    </row>
    <row r="9" spans="1:24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1"/>
    </row>
    <row r="10" spans="1:24" ht="22.5" customHeight="1" x14ac:dyDescent="0.25">
      <c r="A10" s="37"/>
      <c r="B10" s="10" t="s">
        <v>26</v>
      </c>
      <c r="C10" s="3">
        <v>3733</v>
      </c>
      <c r="D10" s="3">
        <v>1</v>
      </c>
      <c r="E10" s="3">
        <v>10177</v>
      </c>
      <c r="F10" s="3">
        <v>1343</v>
      </c>
      <c r="G10" s="3">
        <v>49.805555555555557</v>
      </c>
      <c r="H10" s="3">
        <v>2271</v>
      </c>
      <c r="I10" s="3">
        <v>0.39793641940881203</v>
      </c>
      <c r="J10" s="3">
        <v>1939</v>
      </c>
      <c r="K10" s="3">
        <v>1.8388227049754731</v>
      </c>
      <c r="L10" s="3">
        <v>2218</v>
      </c>
      <c r="M10" s="3">
        <v>0.42035060975609756</v>
      </c>
      <c r="N10" s="3">
        <v>1604</v>
      </c>
      <c r="O10" s="3">
        <v>2.5330915684496826</v>
      </c>
      <c r="P10" s="3">
        <v>2082</v>
      </c>
      <c r="Q10" s="3">
        <v>0.10093056549749463</v>
      </c>
      <c r="R10" s="3">
        <v>2496</v>
      </c>
      <c r="S10" s="3">
        <v>4.3404255319148932</v>
      </c>
      <c r="T10" s="3">
        <v>942</v>
      </c>
      <c r="U10" s="3">
        <v>1.161764705882353</v>
      </c>
      <c r="V10" s="3">
        <v>2</v>
      </c>
      <c r="W10" s="19">
        <f>'2021'!C10/'2020'!V10</f>
        <v>49.5</v>
      </c>
    </row>
    <row r="11" spans="1:24" ht="22.5" customHeight="1" x14ac:dyDescent="0.25">
      <c r="A11" s="42" t="s">
        <v>18</v>
      </c>
      <c r="B11" s="43"/>
      <c r="C11" s="9">
        <f t="shared" ref="C11:R11" si="0">SUM(C5:C10)</f>
        <v>23735337</v>
      </c>
      <c r="D11" s="9">
        <f>SUM(D5:D10)</f>
        <v>20645829</v>
      </c>
      <c r="E11" s="9">
        <f t="shared" si="0"/>
        <v>21809022</v>
      </c>
      <c r="F11" s="9">
        <f t="shared" si="0"/>
        <v>17894498</v>
      </c>
      <c r="G11" s="9"/>
      <c r="H11" s="9">
        <f t="shared" si="0"/>
        <v>16748682</v>
      </c>
      <c r="I11" s="9"/>
      <c r="J11" s="9">
        <f t="shared" si="0"/>
        <v>16630269</v>
      </c>
      <c r="K11" s="9"/>
      <c r="L11" s="9">
        <f t="shared" si="0"/>
        <v>18518571</v>
      </c>
      <c r="M11" s="9"/>
      <c r="N11" s="9">
        <f t="shared" si="0"/>
        <v>19197573</v>
      </c>
      <c r="O11" s="9"/>
      <c r="P11" s="9">
        <f t="shared" si="0"/>
        <v>18668912</v>
      </c>
      <c r="Q11" s="9"/>
      <c r="R11" s="9">
        <f t="shared" si="0"/>
        <v>19071677</v>
      </c>
      <c r="S11" s="9"/>
      <c r="T11" s="9">
        <f>SUM(T5:T10)</f>
        <v>20352443</v>
      </c>
      <c r="U11" s="9"/>
      <c r="V11" s="9">
        <f>SUM(V5:V10)</f>
        <v>22360708</v>
      </c>
    </row>
    <row r="12" spans="1:24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4" spans="1:24" ht="22.5" customHeight="1" x14ac:dyDescent="0.25">
      <c r="C14" s="11"/>
    </row>
    <row r="15" spans="1:24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5"/>
      <c r="X15" s="12"/>
    </row>
    <row r="16" spans="1:24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25"/>
      <c r="X16" s="12"/>
    </row>
    <row r="17" spans="3:24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25"/>
      <c r="X17" s="12"/>
    </row>
    <row r="18" spans="3:24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25"/>
      <c r="X18" s="12"/>
    </row>
    <row r="19" spans="3:24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5"/>
      <c r="X19" s="12"/>
    </row>
    <row r="20" spans="3:24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25"/>
      <c r="X20" s="12"/>
    </row>
    <row r="21" spans="3:24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5"/>
      <c r="X21" s="12"/>
    </row>
    <row r="22" spans="3:24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5"/>
      <c r="X22" s="12"/>
    </row>
    <row r="23" spans="3:24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5"/>
      <c r="X23" s="12"/>
    </row>
    <row r="24" spans="3:24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5"/>
      <c r="X24" s="12"/>
    </row>
    <row r="25" spans="3:24" ht="22.5" customHeight="1" x14ac:dyDescent="0.25">
      <c r="C25" s="12"/>
      <c r="D25" s="12"/>
      <c r="E25" s="12"/>
      <c r="F25" s="12"/>
      <c r="G25" s="12"/>
      <c r="H25" s="44"/>
      <c r="I25" s="44"/>
      <c r="J25" s="44"/>
      <c r="K25" s="21"/>
      <c r="L25" s="13"/>
      <c r="M25" s="13"/>
      <c r="N25" s="14"/>
      <c r="O25" s="14"/>
      <c r="P25" s="15"/>
      <c r="Q25" s="15"/>
      <c r="R25" s="16"/>
      <c r="S25" s="16"/>
      <c r="T25" s="12"/>
      <c r="U25" s="12"/>
      <c r="V25" s="12"/>
      <c r="W25" s="25"/>
      <c r="X25" s="12"/>
    </row>
    <row r="26" spans="3:24" ht="22.5" customHeight="1" x14ac:dyDescent="0.25">
      <c r="C26" s="12"/>
      <c r="D26" s="12"/>
      <c r="E26" s="12"/>
      <c r="F26" s="12"/>
      <c r="G26" s="12"/>
      <c r="H26" s="44"/>
      <c r="I26" s="44"/>
      <c r="J26" s="44"/>
      <c r="K26" s="21"/>
      <c r="L26" s="13"/>
      <c r="M26" s="13"/>
      <c r="N26" s="14"/>
      <c r="O26" s="14"/>
      <c r="P26" s="15"/>
      <c r="Q26" s="15"/>
      <c r="R26" s="16"/>
      <c r="S26" s="16"/>
      <c r="T26" s="12"/>
      <c r="U26" s="12"/>
      <c r="V26" s="12"/>
      <c r="W26" s="25"/>
      <c r="X26" s="12"/>
    </row>
    <row r="27" spans="3:24" ht="22.5" customHeight="1" x14ac:dyDescent="0.25">
      <c r="C27" s="12"/>
      <c r="D27" s="12"/>
      <c r="E27" s="12"/>
      <c r="F27" s="12"/>
      <c r="G27" s="12"/>
      <c r="H27" s="44"/>
      <c r="I27" s="44"/>
      <c r="J27" s="44"/>
      <c r="K27" s="21"/>
      <c r="L27" s="13"/>
      <c r="M27" s="13"/>
      <c r="N27" s="14"/>
      <c r="O27" s="14"/>
      <c r="P27" s="15"/>
      <c r="Q27" s="15"/>
      <c r="R27" s="16"/>
      <c r="S27" s="16"/>
      <c r="T27" s="12"/>
      <c r="U27" s="12"/>
      <c r="V27" s="12"/>
      <c r="W27" s="25"/>
      <c r="X27" s="12"/>
    </row>
    <row r="28" spans="3:24" ht="22.5" customHeight="1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  <c r="O28" s="17"/>
      <c r="P28" s="15"/>
      <c r="Q28" s="15"/>
      <c r="R28" s="16"/>
      <c r="S28" s="16"/>
      <c r="T28" s="12"/>
      <c r="U28" s="12"/>
      <c r="V28" s="12"/>
      <c r="W28" s="25"/>
      <c r="X28" s="12"/>
    </row>
    <row r="29" spans="3:24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5"/>
      <c r="Q29" s="15"/>
      <c r="R29" s="16"/>
      <c r="S29" s="16"/>
      <c r="T29" s="12"/>
      <c r="U29" s="12"/>
      <c r="V29" s="12"/>
      <c r="W29" s="25"/>
      <c r="X29" s="12"/>
    </row>
    <row r="30" spans="3:24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/>
      <c r="Q30" s="15"/>
      <c r="R30" s="16"/>
      <c r="S30" s="16"/>
      <c r="T30" s="12"/>
      <c r="U30" s="12"/>
      <c r="V30" s="12"/>
      <c r="W30" s="25"/>
      <c r="X30" s="12"/>
    </row>
    <row r="31" spans="3:24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25"/>
      <c r="X31" s="12"/>
    </row>
  </sheetData>
  <mergeCells count="8">
    <mergeCell ref="H26:J26"/>
    <mergeCell ref="H27:J27"/>
    <mergeCell ref="A2:V2"/>
    <mergeCell ref="A4:A10"/>
    <mergeCell ref="B4:V4"/>
    <mergeCell ref="B9:V9"/>
    <mergeCell ref="A11:B11"/>
    <mergeCell ref="H25:J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1"/>
  <sheetViews>
    <sheetView zoomScale="70" zoomScaleNormal="70" workbookViewId="0">
      <selection activeCell="AH10" sqref="AH10"/>
    </sheetView>
  </sheetViews>
  <sheetFormatPr defaultColWidth="9.140625" defaultRowHeight="15" x14ac:dyDescent="0.25"/>
  <cols>
    <col min="1" max="1" width="24.85546875" style="1" customWidth="1"/>
    <col min="2" max="2" width="20.140625" style="1" customWidth="1"/>
    <col min="3" max="3" width="19.140625" style="1" customWidth="1"/>
    <col min="4" max="4" width="19.140625" style="1" hidden="1" customWidth="1"/>
    <col min="5" max="5" width="19.140625" style="1" customWidth="1"/>
    <col min="6" max="6" width="19.140625" style="1" hidden="1" customWidth="1"/>
    <col min="7" max="7" width="19.140625" style="1" customWidth="1"/>
    <col min="8" max="8" width="19.140625" style="1" hidden="1" customWidth="1"/>
    <col min="9" max="9" width="19.140625" style="1" customWidth="1"/>
    <col min="10" max="11" width="19.140625" style="1" hidden="1" customWidth="1"/>
    <col min="12" max="12" width="19.140625" style="1" customWidth="1"/>
    <col min="13" max="14" width="19.140625" style="1" hidden="1" customWidth="1"/>
    <col min="15" max="15" width="19.140625" style="1" customWidth="1"/>
    <col min="16" max="17" width="19.140625" style="1" hidden="1" customWidth="1"/>
    <col min="18" max="18" width="19.140625" style="1" customWidth="1"/>
    <col min="19" max="20" width="19.140625" style="1" hidden="1" customWidth="1"/>
    <col min="21" max="21" width="19.140625" style="1" customWidth="1"/>
    <col min="22" max="23" width="19.140625" style="1" hidden="1" customWidth="1"/>
    <col min="24" max="24" width="19.140625" style="1" customWidth="1"/>
    <col min="25" max="26" width="19.140625" style="1" hidden="1" customWidth="1"/>
    <col min="27" max="27" width="19.140625" style="1" customWidth="1"/>
    <col min="28" max="29" width="19.140625" style="1" hidden="1" customWidth="1"/>
    <col min="30" max="30" width="19.140625" style="1" customWidth="1"/>
    <col min="31" max="32" width="19.140625" style="1" hidden="1" customWidth="1"/>
    <col min="33" max="33" width="19.140625" style="1" customWidth="1"/>
    <col min="34" max="34" width="9.140625" style="19"/>
    <col min="35" max="16384" width="9.140625" style="1"/>
  </cols>
  <sheetData>
    <row r="2" spans="1:35" ht="42.75" customHeight="1" x14ac:dyDescent="0.25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5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20"/>
    </row>
    <row r="4" spans="1:35" ht="22.5" customHeight="1" x14ac:dyDescent="0.25">
      <c r="A4" s="36" t="s">
        <v>34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</row>
    <row r="5" spans="1:35" ht="22.5" customHeight="1" x14ac:dyDescent="0.25">
      <c r="A5" s="37"/>
      <c r="B5" s="4" t="s">
        <v>14</v>
      </c>
      <c r="C5" s="3">
        <f>18512475+2306037</f>
        <v>20818512</v>
      </c>
      <c r="D5" s="3">
        <v>0.86921802395795333</v>
      </c>
      <c r="E5" s="3">
        <f>18768799+2210527</f>
        <v>20979326</v>
      </c>
      <c r="F5" s="3">
        <v>1.0583564319155396</v>
      </c>
      <c r="G5" s="3">
        <f>20115840+2008992</f>
        <v>22124832</v>
      </c>
      <c r="H5" s="3">
        <v>0.81933028665746555</v>
      </c>
      <c r="I5" s="3">
        <f>18439323+1377112</f>
        <v>19816435</v>
      </c>
      <c r="J5" s="3"/>
      <c r="K5" s="3">
        <v>0.94087917267212939</v>
      </c>
      <c r="L5" s="3">
        <f>19307049+1007173</f>
        <v>20314222</v>
      </c>
      <c r="M5" s="3"/>
      <c r="N5" s="3">
        <v>0.99938268196066038</v>
      </c>
      <c r="O5" s="3">
        <f>17630488+796894</f>
        <v>18427382</v>
      </c>
      <c r="P5" s="3"/>
      <c r="Q5" s="3">
        <v>1.1153155807816657</v>
      </c>
      <c r="R5" s="3">
        <f>17711849+841098</f>
        <v>18552947</v>
      </c>
      <c r="S5" s="3"/>
      <c r="T5" s="3">
        <v>1.0381759113813347</v>
      </c>
      <c r="U5" s="3">
        <f>18748840+819254</f>
        <v>19568094</v>
      </c>
      <c r="V5" s="3"/>
      <c r="W5" s="3">
        <v>0.96922090805439964</v>
      </c>
      <c r="X5" s="3">
        <f>19046007+1147477</f>
        <v>20193484</v>
      </c>
      <c r="Y5" s="3"/>
      <c r="Z5" s="3">
        <v>1.0189723304623224</v>
      </c>
      <c r="AA5" s="3">
        <f>21717272+1488661</f>
        <v>23205933</v>
      </c>
      <c r="AB5" s="3"/>
      <c r="AC5" s="3">
        <v>1.0564908388782028</v>
      </c>
      <c r="AD5" s="3">
        <f>22143144+1721979</f>
        <v>23865123</v>
      </c>
      <c r="AE5" s="3"/>
      <c r="AF5" s="3">
        <v>1.0978555003131156</v>
      </c>
      <c r="AG5" s="3">
        <f>24496791+2370088</f>
        <v>26866879</v>
      </c>
      <c r="AH5" s="19">
        <f>'2022'!D5/'2021'!AG5</f>
        <v>1.0083566461143476</v>
      </c>
    </row>
    <row r="6" spans="1:35" ht="22.5" customHeight="1" x14ac:dyDescent="0.25">
      <c r="A6" s="37"/>
      <c r="B6" s="4" t="s">
        <v>15</v>
      </c>
      <c r="C6" s="3">
        <v>133819</v>
      </c>
      <c r="D6" s="3">
        <v>0.89053115194979826</v>
      </c>
      <c r="E6" s="3">
        <v>127808</v>
      </c>
      <c r="F6" s="3">
        <v>0.85619911665890702</v>
      </c>
      <c r="G6" s="3">
        <v>115668</v>
      </c>
      <c r="H6" s="3">
        <v>1.0028070484840468</v>
      </c>
      <c r="I6" s="3">
        <v>95855</v>
      </c>
      <c r="J6" s="3"/>
      <c r="K6" s="3">
        <v>1.0525544449980948</v>
      </c>
      <c r="L6" s="3">
        <v>78668</v>
      </c>
      <c r="M6" s="3"/>
      <c r="N6" s="3">
        <v>0.77032859927596775</v>
      </c>
      <c r="O6" s="3">
        <v>65827</v>
      </c>
      <c r="P6" s="3"/>
      <c r="Q6" s="3">
        <v>0.98103931314957071</v>
      </c>
      <c r="R6" s="3">
        <v>67077</v>
      </c>
      <c r="S6" s="3"/>
      <c r="T6" s="3">
        <v>0.85594001031763578</v>
      </c>
      <c r="U6" s="3">
        <v>75776</v>
      </c>
      <c r="V6" s="3"/>
      <c r="W6" s="3">
        <v>1.1464580149385453</v>
      </c>
      <c r="X6" s="3">
        <v>82187</v>
      </c>
      <c r="Y6" s="3"/>
      <c r="Z6" s="3">
        <v>1.2891421490396351</v>
      </c>
      <c r="AA6" s="3">
        <v>93744</v>
      </c>
      <c r="AB6" s="3"/>
      <c r="AC6" s="3">
        <v>1.3680546452862614</v>
      </c>
      <c r="AD6" s="3">
        <v>105511</v>
      </c>
      <c r="AE6" s="3"/>
      <c r="AF6" s="3">
        <v>1.3280458203807008</v>
      </c>
      <c r="AG6" s="3">
        <v>137728</v>
      </c>
      <c r="AH6" s="19">
        <f>'2022'!D6/'2021'!AG6</f>
        <v>0.94068744191449816</v>
      </c>
    </row>
    <row r="7" spans="1:35" ht="22.5" customHeight="1" x14ac:dyDescent="0.25">
      <c r="A7" s="37"/>
      <c r="B7" s="4" t="s">
        <v>16</v>
      </c>
      <c r="C7" s="3">
        <v>594572</v>
      </c>
      <c r="D7" s="3">
        <v>0.89521692384172136</v>
      </c>
      <c r="E7" s="3">
        <v>630392</v>
      </c>
      <c r="F7" s="3">
        <v>0.99369239397539688</v>
      </c>
      <c r="G7" s="3">
        <v>582137</v>
      </c>
      <c r="H7" s="3">
        <v>0.85382594569505688</v>
      </c>
      <c r="I7" s="3">
        <v>381583</v>
      </c>
      <c r="J7" s="3"/>
      <c r="K7" s="3">
        <v>0.73324606646777934</v>
      </c>
      <c r="L7" s="3">
        <v>310972</v>
      </c>
      <c r="M7" s="3"/>
      <c r="N7" s="3">
        <v>0.72609085032056797</v>
      </c>
      <c r="O7" s="3">
        <v>269485</v>
      </c>
      <c r="P7" s="3"/>
      <c r="Q7" s="3">
        <v>1.0244723256877737</v>
      </c>
      <c r="R7" s="3">
        <v>264019</v>
      </c>
      <c r="S7" s="3"/>
      <c r="T7" s="3">
        <v>0.98351937490033492</v>
      </c>
      <c r="U7" s="3">
        <v>266935</v>
      </c>
      <c r="V7" s="3"/>
      <c r="W7" s="3">
        <v>1.1775108833996741</v>
      </c>
      <c r="X7" s="3">
        <v>302493</v>
      </c>
      <c r="Y7" s="3"/>
      <c r="Z7" s="3">
        <v>1.1374565833273091</v>
      </c>
      <c r="AA7" s="3">
        <v>340935</v>
      </c>
      <c r="AB7" s="3"/>
      <c r="AC7" s="3">
        <v>1.6105831794933874</v>
      </c>
      <c r="AD7" s="3">
        <v>508862</v>
      </c>
      <c r="AE7" s="3"/>
      <c r="AF7" s="3">
        <v>1.0922179317342653</v>
      </c>
      <c r="AG7" s="3">
        <v>597940</v>
      </c>
      <c r="AH7" s="19">
        <f>'2022'!D7/'2021'!AG7</f>
        <v>1.0902532026624745</v>
      </c>
    </row>
    <row r="8" spans="1:35" ht="22.5" customHeight="1" x14ac:dyDescent="0.25">
      <c r="A8" s="37"/>
      <c r="B8" s="4" t="s">
        <v>17</v>
      </c>
      <c r="C8" s="3">
        <v>14077</v>
      </c>
      <c r="D8" s="3">
        <v>0.91738449490994523</v>
      </c>
      <c r="E8" s="3">
        <v>6453</v>
      </c>
      <c r="F8" s="3">
        <v>0.91250533504054632</v>
      </c>
      <c r="G8" s="3">
        <v>8633</v>
      </c>
      <c r="H8" s="3">
        <v>1.2020579981290926</v>
      </c>
      <c r="I8" s="3">
        <v>5418</v>
      </c>
      <c r="J8" s="3"/>
      <c r="K8" s="3">
        <v>0.74299610894941637</v>
      </c>
      <c r="L8" s="3">
        <v>4366</v>
      </c>
      <c r="M8" s="3"/>
      <c r="N8" s="3">
        <v>1.2259753862267608</v>
      </c>
      <c r="O8" s="3">
        <v>2632</v>
      </c>
      <c r="P8" s="3"/>
      <c r="Q8" s="3">
        <v>1.1557026911576249</v>
      </c>
      <c r="R8" s="3">
        <v>4839</v>
      </c>
      <c r="S8" s="3"/>
      <c r="T8" s="3">
        <v>0.36148586213269268</v>
      </c>
      <c r="U8" s="3">
        <v>2134</v>
      </c>
      <c r="V8" s="3"/>
      <c r="W8" s="3">
        <v>2.030163599182004</v>
      </c>
      <c r="X8" s="3">
        <v>3705</v>
      </c>
      <c r="Y8" s="3"/>
      <c r="Z8" s="3">
        <v>0.86502140518761017</v>
      </c>
      <c r="AA8" s="3">
        <v>5053</v>
      </c>
      <c r="AB8" s="3"/>
      <c r="AC8" s="3">
        <v>1.2326055312954876</v>
      </c>
      <c r="AD8" s="3">
        <v>5636</v>
      </c>
      <c r="AE8" s="3"/>
      <c r="AF8" s="3">
        <v>0.87978271138403397</v>
      </c>
      <c r="AG8" s="3">
        <v>8365</v>
      </c>
      <c r="AH8" s="19">
        <f>'2022'!D8/'2021'!AG8</f>
        <v>2.3693962940824864</v>
      </c>
    </row>
    <row r="9" spans="1:35" ht="22.5" customHeight="1" x14ac:dyDescent="0.25">
      <c r="A9" s="37"/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  <c r="AH9" s="19" t="e">
        <f t="shared" ref="AH9" si="0">O9/L9</f>
        <v>#DIV/0!</v>
      </c>
    </row>
    <row r="10" spans="1:35" ht="22.5" customHeight="1" x14ac:dyDescent="0.25">
      <c r="A10" s="37"/>
      <c r="B10" s="10" t="s">
        <v>26</v>
      </c>
      <c r="C10" s="3">
        <v>99</v>
      </c>
      <c r="D10" s="3">
        <v>2.6788106080900083E-4</v>
      </c>
      <c r="E10" s="3">
        <v>37</v>
      </c>
      <c r="F10" s="3"/>
      <c r="G10" s="3">
        <v>10477</v>
      </c>
      <c r="H10" s="3">
        <v>0.13196423307457994</v>
      </c>
      <c r="I10" s="3">
        <v>1298</v>
      </c>
      <c r="J10" s="3"/>
      <c r="K10" s="3">
        <v>1.6909903201787044</v>
      </c>
      <c r="L10" s="3">
        <v>673</v>
      </c>
      <c r="M10" s="3"/>
      <c r="N10" s="3">
        <v>0.85380889476001764</v>
      </c>
      <c r="O10" s="3">
        <v>1189</v>
      </c>
      <c r="P10" s="3"/>
      <c r="Q10" s="3">
        <v>1.1438886023723569</v>
      </c>
      <c r="R10" s="3">
        <v>1</v>
      </c>
      <c r="S10" s="3"/>
      <c r="T10" s="3">
        <v>0.7231740306582507</v>
      </c>
      <c r="U10" s="3">
        <v>290</v>
      </c>
      <c r="V10" s="3"/>
      <c r="W10" s="3">
        <v>1.2980049875311721</v>
      </c>
      <c r="X10" s="3">
        <v>2140</v>
      </c>
      <c r="Y10" s="3"/>
      <c r="Z10" s="3">
        <v>1.1988472622478386</v>
      </c>
      <c r="AA10" s="3">
        <v>3491</v>
      </c>
      <c r="AB10" s="3"/>
      <c r="AC10" s="3"/>
      <c r="AD10" s="3">
        <v>412</v>
      </c>
      <c r="AE10" s="3"/>
      <c r="AF10" s="3">
        <v>2.1231422505307855E-3</v>
      </c>
      <c r="AG10" s="3">
        <v>2397</v>
      </c>
      <c r="AH10" s="19">
        <f>'2022'!D10/'2021'!AG10</f>
        <v>0</v>
      </c>
    </row>
    <row r="11" spans="1:35" ht="22.5" customHeight="1" x14ac:dyDescent="0.25">
      <c r="A11" s="42" t="s">
        <v>18</v>
      </c>
      <c r="B11" s="43"/>
      <c r="C11" s="9">
        <f t="shared" ref="C11:AA11" si="1">SUM(C5:C10)</f>
        <v>21561079</v>
      </c>
      <c r="D11" s="9"/>
      <c r="E11" s="9">
        <f>SUM(E5:E10)</f>
        <v>21744016</v>
      </c>
      <c r="F11" s="9"/>
      <c r="G11" s="9">
        <f t="shared" si="1"/>
        <v>22841747</v>
      </c>
      <c r="H11" s="9"/>
      <c r="I11" s="9">
        <f t="shared" si="1"/>
        <v>20300589</v>
      </c>
      <c r="J11" s="9"/>
      <c r="K11" s="9"/>
      <c r="L11" s="9">
        <f t="shared" si="1"/>
        <v>20708901</v>
      </c>
      <c r="M11" s="9"/>
      <c r="N11" s="9"/>
      <c r="O11" s="9">
        <f t="shared" si="1"/>
        <v>18766515</v>
      </c>
      <c r="P11" s="9"/>
      <c r="Q11" s="9"/>
      <c r="R11" s="9">
        <f t="shared" si="1"/>
        <v>18888883</v>
      </c>
      <c r="S11" s="9"/>
      <c r="T11" s="9"/>
      <c r="U11" s="9">
        <f t="shared" si="1"/>
        <v>19913229</v>
      </c>
      <c r="V11" s="9"/>
      <c r="W11" s="9"/>
      <c r="X11" s="9">
        <f t="shared" si="1"/>
        <v>20584009</v>
      </c>
      <c r="Y11" s="9"/>
      <c r="Z11" s="9"/>
      <c r="AA11" s="9">
        <f t="shared" si="1"/>
        <v>23649156</v>
      </c>
      <c r="AB11" s="9"/>
      <c r="AC11" s="9"/>
      <c r="AD11" s="9">
        <f>SUM(AD5:AD10)</f>
        <v>24485544</v>
      </c>
      <c r="AE11" s="9"/>
      <c r="AF11" s="9"/>
      <c r="AG11" s="9">
        <f>SUM(AG5:AG10)</f>
        <v>27613309</v>
      </c>
    </row>
    <row r="12" spans="1:35" ht="22.5" customHeigh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4" spans="1:35" ht="22.5" customHeight="1" x14ac:dyDescent="0.25">
      <c r="C14" s="11"/>
      <c r="D14" s="11"/>
    </row>
    <row r="15" spans="1:35" ht="22.5" customHeight="1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25"/>
      <c r="AI15" s="12"/>
    </row>
    <row r="16" spans="1:35" ht="22.5" customHeight="1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25"/>
      <c r="AI16" s="12"/>
    </row>
    <row r="17" spans="3:35" ht="22.5" customHeight="1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25"/>
      <c r="AI17" s="12"/>
    </row>
    <row r="18" spans="3:35" ht="22.5" customHeight="1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25"/>
      <c r="AI18" s="12"/>
    </row>
    <row r="19" spans="3:35" ht="22.5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25"/>
      <c r="AI19" s="12"/>
    </row>
    <row r="20" spans="3:35" ht="22.5" customHeight="1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25"/>
      <c r="AI20" s="12"/>
    </row>
    <row r="21" spans="3:35" ht="22.5" customHeight="1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25"/>
      <c r="AI21" s="12"/>
    </row>
    <row r="22" spans="3:35" ht="22.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25"/>
      <c r="AI22" s="12"/>
    </row>
    <row r="23" spans="3:35" ht="22.5" customHeight="1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25"/>
      <c r="AI23" s="12"/>
    </row>
    <row r="24" spans="3:35" ht="22.5" customHeight="1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25"/>
      <c r="AI24" s="12"/>
    </row>
    <row r="25" spans="3:35" ht="22.5" customHeight="1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44"/>
      <c r="M25" s="44"/>
      <c r="N25" s="44"/>
      <c r="O25" s="44"/>
      <c r="P25" s="26"/>
      <c r="Q25" s="27"/>
      <c r="R25" s="13"/>
      <c r="S25" s="13"/>
      <c r="T25" s="13"/>
      <c r="U25" s="14"/>
      <c r="V25" s="14"/>
      <c r="W25" s="14"/>
      <c r="X25" s="15"/>
      <c r="Y25" s="15"/>
      <c r="Z25" s="15"/>
      <c r="AA25" s="16"/>
      <c r="AB25" s="16"/>
      <c r="AC25" s="16"/>
      <c r="AD25" s="12"/>
      <c r="AE25" s="12"/>
      <c r="AF25" s="12"/>
      <c r="AG25" s="12"/>
      <c r="AH25" s="25"/>
      <c r="AI25" s="12"/>
    </row>
    <row r="26" spans="3:35" ht="22.5" customHeight="1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44"/>
      <c r="M26" s="44"/>
      <c r="N26" s="44"/>
      <c r="O26" s="44"/>
      <c r="P26" s="26"/>
      <c r="Q26" s="27"/>
      <c r="R26" s="13"/>
      <c r="S26" s="13"/>
      <c r="T26" s="13"/>
      <c r="U26" s="14"/>
      <c r="V26" s="14"/>
      <c r="W26" s="14"/>
      <c r="X26" s="15"/>
      <c r="Y26" s="15"/>
      <c r="Z26" s="15"/>
      <c r="AA26" s="16"/>
      <c r="AB26" s="16"/>
      <c r="AC26" s="16"/>
      <c r="AD26" s="12"/>
      <c r="AE26" s="12"/>
      <c r="AF26" s="12"/>
      <c r="AG26" s="12"/>
      <c r="AH26" s="25"/>
      <c r="AI26" s="12"/>
    </row>
    <row r="27" spans="3:35" ht="22.5" customHeight="1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44"/>
      <c r="M27" s="44"/>
      <c r="N27" s="44"/>
      <c r="O27" s="44"/>
      <c r="P27" s="26"/>
      <c r="Q27" s="27"/>
      <c r="R27" s="13"/>
      <c r="S27" s="13"/>
      <c r="T27" s="13"/>
      <c r="U27" s="14"/>
      <c r="V27" s="14"/>
      <c r="W27" s="14"/>
      <c r="X27" s="15"/>
      <c r="Y27" s="15"/>
      <c r="Z27" s="15"/>
      <c r="AA27" s="16"/>
      <c r="AB27" s="16"/>
      <c r="AC27" s="16"/>
      <c r="AD27" s="12"/>
      <c r="AE27" s="12"/>
      <c r="AF27" s="12"/>
      <c r="AG27" s="12"/>
      <c r="AH27" s="25"/>
      <c r="AI27" s="12"/>
    </row>
    <row r="28" spans="3:35" ht="22.5" customHeight="1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7"/>
      <c r="V28" s="17"/>
      <c r="W28" s="17"/>
      <c r="X28" s="15"/>
      <c r="Y28" s="15"/>
      <c r="Z28" s="15"/>
      <c r="AA28" s="16"/>
      <c r="AB28" s="16"/>
      <c r="AC28" s="16"/>
      <c r="AD28" s="12"/>
      <c r="AE28" s="12"/>
      <c r="AF28" s="12"/>
      <c r="AG28" s="12"/>
      <c r="AH28" s="25"/>
      <c r="AI28" s="12"/>
    </row>
    <row r="29" spans="3:35" ht="22.5" customHeight="1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5"/>
      <c r="Y29" s="15"/>
      <c r="Z29" s="15"/>
      <c r="AA29" s="16"/>
      <c r="AB29" s="16"/>
      <c r="AC29" s="16"/>
      <c r="AD29" s="12"/>
      <c r="AE29" s="12"/>
      <c r="AF29" s="12"/>
      <c r="AG29" s="12"/>
      <c r="AH29" s="25"/>
      <c r="AI29" s="12"/>
    </row>
    <row r="30" spans="3:35" ht="22.5" customHeight="1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5"/>
      <c r="Y30" s="15"/>
      <c r="Z30" s="15"/>
      <c r="AA30" s="16"/>
      <c r="AB30" s="16"/>
      <c r="AC30" s="16"/>
      <c r="AD30" s="12"/>
      <c r="AE30" s="12"/>
      <c r="AF30" s="12"/>
      <c r="AG30" s="12"/>
      <c r="AH30" s="25"/>
      <c r="AI30" s="12"/>
    </row>
    <row r="31" spans="3:35" ht="22.5" customHeigh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25"/>
      <c r="AI31" s="12"/>
    </row>
  </sheetData>
  <mergeCells count="8">
    <mergeCell ref="L26:O26"/>
    <mergeCell ref="L27:O27"/>
    <mergeCell ref="A2:AG2"/>
    <mergeCell ref="A4:A10"/>
    <mergeCell ref="B4:AG4"/>
    <mergeCell ref="B9:AG9"/>
    <mergeCell ref="A11:B11"/>
    <mergeCell ref="L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Ермакова Наталья Юрьевна</cp:lastModifiedBy>
  <dcterms:created xsi:type="dcterms:W3CDTF">2013-11-13T16:10:49Z</dcterms:created>
  <dcterms:modified xsi:type="dcterms:W3CDTF">2025-01-20T11:43:15Z</dcterms:modified>
</cp:coreProperties>
</file>