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15" yWindow="75" windowWidth="24915" windowHeight="5445" firstSheet="8" activeTab="11"/>
  </bookViews>
  <sheets>
    <sheet name="2013 " sheetId="5" state="hidden" r:id="rId1"/>
    <sheet name="2014" sheetId="6" state="hidden" r:id="rId2"/>
    <sheet name="2015 " sheetId="7" state="hidden" r:id="rId3"/>
    <sheet name="2016" sheetId="8" state="hidden" r:id="rId4"/>
    <sheet name="2017" sheetId="9" state="hidden" r:id="rId5"/>
    <sheet name="2018" sheetId="10" state="hidden" r:id="rId6"/>
    <sheet name="2019" sheetId="11" state="hidden" r:id="rId7"/>
    <sheet name="2020" sheetId="12" state="hidden" r:id="rId8"/>
    <sheet name="2021" sheetId="13" r:id="rId9"/>
    <sheet name="2022" sheetId="14" r:id="rId10"/>
    <sheet name="2023" sheetId="15" r:id="rId11"/>
    <sheet name="2024" sheetId="16" r:id="rId12"/>
  </sheets>
  <calcPr calcId="162913"/>
</workbook>
</file>

<file path=xl/calcChain.xml><?xml version="1.0" encoding="utf-8"?>
<calcChain xmlns="http://schemas.openxmlformats.org/spreadsheetml/2006/main">
  <c r="N15" i="16" l="1"/>
  <c r="N13" i="16" l="1"/>
  <c r="N12" i="16"/>
  <c r="M12" i="16" l="1"/>
  <c r="M13" i="16"/>
  <c r="M15" i="16"/>
  <c r="L15" i="16" l="1"/>
  <c r="L13" i="16"/>
  <c r="L12" i="16"/>
  <c r="K15" i="16" l="1"/>
  <c r="K13" i="16"/>
  <c r="K12" i="16"/>
  <c r="J15" i="16" l="1"/>
  <c r="J14" i="16"/>
  <c r="J13" i="16"/>
  <c r="J12" i="16"/>
  <c r="I15" i="16" l="1"/>
  <c r="I14" i="16"/>
  <c r="I13" i="16"/>
  <c r="I12" i="16"/>
  <c r="H15" i="16" l="1"/>
  <c r="H13" i="16"/>
  <c r="H12" i="16"/>
  <c r="G15" i="16" l="1"/>
  <c r="G13" i="16"/>
  <c r="G12" i="16"/>
  <c r="F15" i="16" l="1"/>
  <c r="F13" i="16"/>
  <c r="F12" i="16"/>
  <c r="N19" i="16" l="1"/>
  <c r="M19" i="16"/>
  <c r="L19" i="16"/>
  <c r="K19" i="16"/>
  <c r="J19" i="16"/>
  <c r="I19" i="16"/>
  <c r="H19" i="16"/>
  <c r="G19" i="16"/>
  <c r="F19" i="16"/>
  <c r="E19" i="16"/>
  <c r="D19" i="16"/>
  <c r="C19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L20" i="16" l="1"/>
  <c r="K20" i="16"/>
  <c r="J20" i="16"/>
  <c r="I20" i="16"/>
  <c r="G20" i="16"/>
  <c r="F20" i="16"/>
  <c r="E20" i="16"/>
  <c r="D20" i="16"/>
  <c r="C20" i="16"/>
  <c r="M20" i="16"/>
  <c r="H20" i="16"/>
  <c r="N20" i="16"/>
  <c r="E12" i="15"/>
  <c r="D12" i="15" l="1"/>
  <c r="C19" i="15" l="1"/>
  <c r="C10" i="15"/>
  <c r="AG13" i="13"/>
  <c r="AG12" i="13"/>
  <c r="AG7" i="13"/>
  <c r="AG6" i="13"/>
  <c r="AG5" i="13"/>
  <c r="M19" i="15"/>
  <c r="L19" i="15"/>
  <c r="K19" i="15"/>
  <c r="J19" i="15"/>
  <c r="I19" i="15"/>
  <c r="H19" i="15"/>
  <c r="G19" i="15"/>
  <c r="F19" i="15"/>
  <c r="E19" i="15"/>
  <c r="D19" i="15"/>
  <c r="N19" i="15"/>
  <c r="N10" i="15"/>
  <c r="M10" i="15"/>
  <c r="L10" i="15"/>
  <c r="L20" i="15" s="1"/>
  <c r="K10" i="15"/>
  <c r="J10" i="15"/>
  <c r="I10" i="15"/>
  <c r="G10" i="15"/>
  <c r="F10" i="15"/>
  <c r="E10" i="15"/>
  <c r="D10" i="15"/>
  <c r="H10" i="15"/>
  <c r="K20" i="15" l="1"/>
  <c r="H20" i="15"/>
  <c r="G20" i="15"/>
  <c r="F20" i="15"/>
  <c r="D20" i="15"/>
  <c r="C20" i="15"/>
  <c r="J20" i="15"/>
  <c r="E20" i="15"/>
  <c r="I20" i="15"/>
  <c r="M20" i="15"/>
  <c r="N20" i="15"/>
  <c r="AR12" i="14"/>
  <c r="AC5" i="14" l="1"/>
  <c r="U6" i="14" l="1"/>
  <c r="M6" i="14" l="1"/>
  <c r="D5" i="14" l="1"/>
  <c r="V18" i="12" l="1"/>
  <c r="V16" i="12"/>
  <c r="V15" i="12"/>
  <c r="V14" i="12"/>
  <c r="V13" i="12"/>
  <c r="V12" i="12"/>
  <c r="V7" i="12"/>
  <c r="V6" i="12"/>
  <c r="V5" i="12"/>
  <c r="AR19" i="14"/>
  <c r="AN19" i="14"/>
  <c r="AJ19" i="14"/>
  <c r="AF19" i="14"/>
  <c r="U19" i="14"/>
  <c r="Q19" i="14"/>
  <c r="M19" i="14"/>
  <c r="J19" i="14"/>
  <c r="G19" i="14"/>
  <c r="D19" i="14"/>
  <c r="Y19" i="14"/>
  <c r="AC19" i="14"/>
  <c r="AR10" i="14"/>
  <c r="AN10" i="14"/>
  <c r="AJ10" i="14"/>
  <c r="AF10" i="14"/>
  <c r="Y10" i="14"/>
  <c r="U10" i="14"/>
  <c r="M10" i="14"/>
  <c r="M20" i="14" s="1"/>
  <c r="J10" i="14"/>
  <c r="G10" i="14"/>
  <c r="G20" i="14" s="1"/>
  <c r="AC10" i="14"/>
  <c r="Q10" i="14"/>
  <c r="AR20" i="14" l="1"/>
  <c r="AN20" i="14"/>
  <c r="AJ20" i="14"/>
  <c r="AF20" i="14"/>
  <c r="U20" i="14"/>
  <c r="Q20" i="14"/>
  <c r="D10" i="14"/>
  <c r="D20" i="14" s="1"/>
  <c r="AC20" i="14"/>
  <c r="Y20" i="14"/>
  <c r="J20" i="14"/>
  <c r="U12" i="13"/>
  <c r="U6" i="13"/>
  <c r="R18" i="13"/>
  <c r="R16" i="13"/>
  <c r="R15" i="13"/>
  <c r="R14" i="13"/>
  <c r="R9" i="13"/>
  <c r="L6" i="13"/>
  <c r="W19" i="13"/>
  <c r="O19" i="13"/>
  <c r="L19" i="13"/>
  <c r="C19" i="13"/>
  <c r="I19" i="13"/>
  <c r="G19" i="13"/>
  <c r="E19" i="13"/>
  <c r="AF10" i="13"/>
  <c r="AC10" i="13"/>
  <c r="Z10" i="13"/>
  <c r="W10" i="13"/>
  <c r="U10" i="13"/>
  <c r="O10" i="13"/>
  <c r="L10" i="13"/>
  <c r="I10" i="13"/>
  <c r="G10" i="13"/>
  <c r="R10" i="13"/>
  <c r="E10" i="13"/>
  <c r="C10" i="13"/>
  <c r="G20" i="13"/>
  <c r="C20" i="13"/>
  <c r="I20" i="13"/>
  <c r="L20" i="13"/>
  <c r="O20" i="13"/>
  <c r="W20" i="13"/>
  <c r="AC19" i="13"/>
  <c r="AC20" i="13"/>
  <c r="AF19" i="13"/>
  <c r="U19" i="13"/>
  <c r="U20" i="13"/>
  <c r="R19" i="13"/>
  <c r="R20" i="13"/>
  <c r="E20" i="13"/>
  <c r="Z19" i="13"/>
  <c r="Z20" i="13"/>
  <c r="U18" i="12"/>
  <c r="U16" i="12"/>
  <c r="U15" i="12"/>
  <c r="U14" i="12"/>
  <c r="O18" i="11"/>
  <c r="O16" i="11"/>
  <c r="O15" i="11"/>
  <c r="O14" i="11"/>
  <c r="O13" i="11"/>
  <c r="O12" i="11"/>
  <c r="O7" i="11"/>
  <c r="O6" i="11"/>
  <c r="O5" i="11"/>
  <c r="S6" i="12"/>
  <c r="S18" i="12"/>
  <c r="S16" i="12"/>
  <c r="S15" i="12"/>
  <c r="S14" i="12"/>
  <c r="Q18" i="12"/>
  <c r="Q16" i="12"/>
  <c r="Q15" i="12"/>
  <c r="Q14" i="12"/>
  <c r="N18" i="12"/>
  <c r="L6" i="12"/>
  <c r="Q5" i="11"/>
  <c r="L18" i="12"/>
  <c r="L5" i="12"/>
  <c r="J18" i="12"/>
  <c r="J15" i="12"/>
  <c r="J12" i="12"/>
  <c r="H18" i="12"/>
  <c r="H15" i="12"/>
  <c r="H13" i="12"/>
  <c r="F18" i="12"/>
  <c r="F15" i="12"/>
  <c r="F13" i="12"/>
  <c r="E13" i="12"/>
  <c r="E18" i="12"/>
  <c r="E15" i="12"/>
  <c r="Q6" i="11"/>
  <c r="Q7" i="11"/>
  <c r="Q12" i="11"/>
  <c r="Q13" i="11"/>
  <c r="Q14" i="11"/>
  <c r="Q15" i="11"/>
  <c r="Q16" i="11"/>
  <c r="Q18" i="11"/>
  <c r="D13" i="12"/>
  <c r="D6" i="12"/>
  <c r="C18" i="12"/>
  <c r="C15" i="12"/>
  <c r="C13" i="12"/>
  <c r="C6" i="12"/>
  <c r="O19" i="12"/>
  <c r="H19" i="12"/>
  <c r="C19" i="12"/>
  <c r="E19" i="12"/>
  <c r="D19" i="12"/>
  <c r="U19" i="12"/>
  <c r="S19" i="12"/>
  <c r="N19" i="12"/>
  <c r="L19" i="12"/>
  <c r="J19" i="12"/>
  <c r="F19" i="12"/>
  <c r="Q19" i="12"/>
  <c r="U10" i="12"/>
  <c r="S10" i="12"/>
  <c r="Q10" i="12"/>
  <c r="O10" i="12"/>
  <c r="N10" i="12"/>
  <c r="L10" i="12"/>
  <c r="J10" i="12"/>
  <c r="H10" i="12"/>
  <c r="F10" i="12"/>
  <c r="E10" i="12"/>
  <c r="D10" i="12"/>
  <c r="C10" i="12"/>
  <c r="N20" i="12"/>
  <c r="F20" i="12"/>
  <c r="U20" i="12"/>
  <c r="E20" i="12"/>
  <c r="L20" i="12"/>
  <c r="S20" i="12"/>
  <c r="H20" i="12"/>
  <c r="C20" i="12"/>
  <c r="O20" i="12"/>
  <c r="D20" i="12"/>
  <c r="J20" i="12"/>
  <c r="Q20" i="12"/>
  <c r="N18" i="11"/>
  <c r="N15" i="11"/>
  <c r="N13" i="11"/>
  <c r="M13" i="11"/>
  <c r="L12" i="11"/>
  <c r="K18" i="11"/>
  <c r="K15" i="11"/>
  <c r="K13" i="11"/>
  <c r="J18" i="11"/>
  <c r="J15" i="11"/>
  <c r="J13" i="11"/>
  <c r="I18" i="11"/>
  <c r="I15" i="11"/>
  <c r="I13" i="11"/>
  <c r="H18" i="11"/>
  <c r="H15" i="11"/>
  <c r="H13" i="11"/>
  <c r="G13" i="11"/>
  <c r="F18" i="11"/>
  <c r="F15" i="11"/>
  <c r="F13" i="11"/>
  <c r="E18" i="11"/>
  <c r="E15" i="11"/>
  <c r="D18" i="11"/>
  <c r="D15" i="11"/>
  <c r="C18" i="11"/>
  <c r="C15" i="11"/>
  <c r="K19" i="11"/>
  <c r="J19" i="11"/>
  <c r="I19" i="11"/>
  <c r="G19" i="11"/>
  <c r="E19" i="11"/>
  <c r="D19" i="11"/>
  <c r="C19" i="11"/>
  <c r="N19" i="11"/>
  <c r="M19" i="11"/>
  <c r="F19" i="11"/>
  <c r="L19" i="11"/>
  <c r="H19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M20" i="11"/>
  <c r="K20" i="11"/>
  <c r="E20" i="11"/>
  <c r="L20" i="11"/>
  <c r="D20" i="11"/>
  <c r="H20" i="11"/>
  <c r="I20" i="11"/>
  <c r="J20" i="11"/>
  <c r="N20" i="11"/>
  <c r="G20" i="11"/>
  <c r="C20" i="11"/>
  <c r="F20" i="11"/>
  <c r="N18" i="10"/>
  <c r="N15" i="10"/>
  <c r="M18" i="10"/>
  <c r="M12" i="10"/>
  <c r="L18" i="10"/>
  <c r="L15" i="10"/>
  <c r="I18" i="10"/>
  <c r="I15" i="10"/>
  <c r="I19" i="10"/>
  <c r="J19" i="10"/>
  <c r="K19" i="10"/>
  <c r="L19" i="10"/>
  <c r="M19" i="10"/>
  <c r="N19" i="10"/>
  <c r="I10" i="10"/>
  <c r="J10" i="10"/>
  <c r="K10" i="10"/>
  <c r="L10" i="10"/>
  <c r="M10" i="10"/>
  <c r="N10" i="10"/>
  <c r="H18" i="10"/>
  <c r="H15" i="10"/>
  <c r="F18" i="10"/>
  <c r="F15" i="10"/>
  <c r="E6" i="10"/>
  <c r="E19" i="10"/>
  <c r="C19" i="10"/>
  <c r="H19" i="10"/>
  <c r="F19" i="10"/>
  <c r="D19" i="10"/>
  <c r="G19" i="10"/>
  <c r="M20" i="10"/>
  <c r="L20" i="10"/>
  <c r="J20" i="10"/>
  <c r="H10" i="10"/>
  <c r="G10" i="10"/>
  <c r="E10" i="10"/>
  <c r="D10" i="10"/>
  <c r="C10" i="10"/>
  <c r="F10" i="10"/>
  <c r="I20" i="10"/>
  <c r="F20" i="10"/>
  <c r="E20" i="10"/>
  <c r="K20" i="10"/>
  <c r="D20" i="10"/>
  <c r="N20" i="10"/>
  <c r="C20" i="10"/>
  <c r="H20" i="10"/>
  <c r="G20" i="10"/>
  <c r="L18" i="9"/>
  <c r="L15" i="9"/>
  <c r="K18" i="9"/>
  <c r="K15" i="9"/>
  <c r="K6" i="9"/>
  <c r="K19" i="9"/>
  <c r="J15" i="9"/>
  <c r="J18" i="9"/>
  <c r="J19" i="9"/>
  <c r="J10" i="9"/>
  <c r="J20" i="9"/>
  <c r="I19" i="9"/>
  <c r="I10" i="9"/>
  <c r="I20" i="9"/>
  <c r="H18" i="9"/>
  <c r="H15" i="9"/>
  <c r="G14" i="9"/>
  <c r="G19" i="9"/>
  <c r="G10" i="9"/>
  <c r="G20" i="9"/>
  <c r="F18" i="9"/>
  <c r="F15" i="9"/>
  <c r="F6" i="9"/>
  <c r="F10" i="9"/>
  <c r="F19" i="9"/>
  <c r="D16" i="9"/>
  <c r="D15" i="9"/>
  <c r="C16" i="9"/>
  <c r="C18" i="9"/>
  <c r="C15" i="9"/>
  <c r="N19" i="9"/>
  <c r="M19" i="9"/>
  <c r="L19" i="9"/>
  <c r="H19" i="9"/>
  <c r="E19" i="9"/>
  <c r="D19" i="9"/>
  <c r="C19" i="9"/>
  <c r="N10" i="9"/>
  <c r="M10" i="9"/>
  <c r="L10" i="9"/>
  <c r="K10" i="9"/>
  <c r="K20" i="9"/>
  <c r="H10" i="9"/>
  <c r="F20" i="9"/>
  <c r="E10" i="9"/>
  <c r="D10" i="9"/>
  <c r="C10" i="9"/>
  <c r="M20" i="9"/>
  <c r="L20" i="9"/>
  <c r="H20" i="9"/>
  <c r="N20" i="9"/>
  <c r="E20" i="9"/>
  <c r="D20" i="9"/>
  <c r="C20" i="9"/>
  <c r="N19" i="8"/>
  <c r="M19" i="8"/>
  <c r="L19" i="8"/>
  <c r="K19" i="8"/>
  <c r="J19" i="8"/>
  <c r="I19" i="8"/>
  <c r="H19" i="8"/>
  <c r="G19" i="8"/>
  <c r="F19" i="8"/>
  <c r="E19" i="8"/>
  <c r="D19" i="8"/>
  <c r="C19" i="8"/>
  <c r="N10" i="8"/>
  <c r="M10" i="8"/>
  <c r="L10" i="8"/>
  <c r="K10" i="8"/>
  <c r="J10" i="8"/>
  <c r="J20" i="8"/>
  <c r="I10" i="8"/>
  <c r="H10" i="8"/>
  <c r="G10" i="8"/>
  <c r="F10" i="8"/>
  <c r="E10" i="8"/>
  <c r="D10" i="8"/>
  <c r="C10" i="8"/>
  <c r="N20" i="8"/>
  <c r="M20" i="8"/>
  <c r="L20" i="8"/>
  <c r="K20" i="8"/>
  <c r="I20" i="8"/>
  <c r="H20" i="8"/>
  <c r="G20" i="8"/>
  <c r="F20" i="8"/>
  <c r="E20" i="8"/>
  <c r="D20" i="8"/>
  <c r="C20" i="8"/>
  <c r="N20" i="7"/>
  <c r="N11" i="7"/>
  <c r="N21" i="7"/>
  <c r="L20" i="7"/>
  <c r="L11" i="7"/>
  <c r="L21" i="7"/>
  <c r="K11" i="7"/>
  <c r="M20" i="7"/>
  <c r="K20" i="7"/>
  <c r="K21" i="7"/>
  <c r="J20" i="7"/>
  <c r="I20" i="7"/>
  <c r="H20" i="7"/>
  <c r="G20" i="7"/>
  <c r="F20" i="7"/>
  <c r="E20" i="7"/>
  <c r="D20" i="7"/>
  <c r="C20" i="7"/>
  <c r="M11" i="7"/>
  <c r="J11" i="7"/>
  <c r="I11" i="7"/>
  <c r="H11" i="7"/>
  <c r="G11" i="7"/>
  <c r="F11" i="7"/>
  <c r="E11" i="7"/>
  <c r="D11" i="7"/>
  <c r="C11" i="7"/>
  <c r="D20" i="6"/>
  <c r="E20" i="6"/>
  <c r="F20" i="6"/>
  <c r="G20" i="6"/>
  <c r="H20" i="6"/>
  <c r="I20" i="6"/>
  <c r="J20" i="6"/>
  <c r="K20" i="6"/>
  <c r="L20" i="6"/>
  <c r="M20" i="6"/>
  <c r="N20" i="6"/>
  <c r="C20" i="6"/>
  <c r="G21" i="7"/>
  <c r="F21" i="7"/>
  <c r="M21" i="7"/>
  <c r="H21" i="7"/>
  <c r="J21" i="7"/>
  <c r="I21" i="7"/>
  <c r="E21" i="7"/>
  <c r="D21" i="7"/>
  <c r="C21" i="7"/>
  <c r="N11" i="6"/>
  <c r="N21" i="6"/>
  <c r="M11" i="6"/>
  <c r="M21" i="6"/>
  <c r="L11" i="6"/>
  <c r="L21" i="6"/>
  <c r="K11" i="6"/>
  <c r="K21" i="6"/>
  <c r="J11" i="6"/>
  <c r="J21" i="6"/>
  <c r="I11" i="6"/>
  <c r="I21" i="6"/>
  <c r="H11" i="6"/>
  <c r="H21" i="6"/>
  <c r="G11" i="6"/>
  <c r="G21" i="6"/>
  <c r="F11" i="6"/>
  <c r="F21" i="6"/>
  <c r="E11" i="6"/>
  <c r="E21" i="6"/>
  <c r="D11" i="6"/>
  <c r="D21" i="6"/>
  <c r="C11" i="6"/>
  <c r="C21" i="6"/>
  <c r="N19" i="5"/>
  <c r="M19" i="5"/>
  <c r="L19" i="5"/>
  <c r="K19" i="5"/>
  <c r="J19" i="5"/>
  <c r="I19" i="5"/>
  <c r="H19" i="5"/>
  <c r="G19" i="5"/>
  <c r="F19" i="5"/>
  <c r="E19" i="5"/>
  <c r="D19" i="5"/>
  <c r="C19" i="5"/>
  <c r="N11" i="5"/>
  <c r="M11" i="5"/>
  <c r="L11" i="5"/>
  <c r="K11" i="5"/>
  <c r="J11" i="5"/>
  <c r="I11" i="5"/>
  <c r="H11" i="5"/>
  <c r="G11" i="5"/>
  <c r="F11" i="5"/>
  <c r="F20" i="5"/>
  <c r="E11" i="5"/>
  <c r="D11" i="5"/>
  <c r="C11" i="5"/>
  <c r="N20" i="5"/>
  <c r="M20" i="5"/>
  <c r="L20" i="5"/>
  <c r="K20" i="5"/>
  <c r="J20" i="5"/>
  <c r="I20" i="5"/>
  <c r="H20" i="5"/>
  <c r="G20" i="5"/>
  <c r="E20" i="5"/>
  <c r="D20" i="5"/>
  <c r="C20" i="5"/>
  <c r="AF20" i="13" l="1"/>
</calcChain>
</file>

<file path=xl/sharedStrings.xml><?xml version="1.0" encoding="utf-8"?>
<sst xmlns="http://schemas.openxmlformats.org/spreadsheetml/2006/main" count="386" uniqueCount="39">
  <si>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</si>
  <si>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</si>
  <si>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</si>
  <si>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</si>
  <si>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</si>
  <si>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</si>
  <si>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</si>
  <si>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</si>
  <si>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</si>
  <si>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</si>
  <si>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</si>
  <si>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</si>
  <si>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</si>
  <si>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</si>
  <si>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</si>
  <si>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</si>
  <si>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</si>
  <si>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</si>
  <si>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</si>
  <si>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ВН1</t>
  </si>
  <si>
    <t>Прочие потребители, кВт*ч</t>
  </si>
  <si>
    <t>Население, кВт*ч</t>
  </si>
  <si>
    <t>ОАО "МРСК Сибири" "Бурятэнерго"</t>
  </si>
  <si>
    <t>Информация о фактическом полезном отпуске электрической энергии (мощности) потребителям ООО "РУСЭНЕРГОСБЫТ" в границах Республики Бурятия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</si>
  <si>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Республики Бурятия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</si>
  <si>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Республики Бурятия в разрезе ТСО за 2015 год</t>
  </si>
  <si>
    <t>Восточно-Сибирская дирекция по энергообеспечению - структурного подразделения "Трансэнерго"- филиала ОАО "РЖД"</t>
  </si>
  <si>
    <t>Информация о фактическом полезном отпуске электрической энергии (мощности) потребителям ООО "РУСЭНЕРГОСБЫТ" в границах Республики Бурятия в разрезе ТСО за 2016 год</t>
  </si>
  <si>
    <t>ПАО "МРСК Сибири" "Бурятэнерго"</t>
  </si>
  <si>
    <t>Информация о фактическом полезном отпуске электрической энергии (мощности) потребителям ООО "РУСЭНЕРГОСБЫТ" в границах Республики Бурятия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</si>
  <si>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Республики Бурятия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</si>
  <si>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Республики Бурятия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</si>
  <si>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Республики Бурятия в разрезе ТСО за 2020 год</t>
  </si>
  <si>
    <t>Восточно-Сибирская дирекция по энергообеспечению - структурное подразделение "Трансэнерго" - филиала ОАО "РЖД"</t>
  </si>
  <si>
    <t>Филиал ПАО «Россети Сибирь» - "Бурятэнерго"</t>
  </si>
  <si>
    <t>Информация о фактическом полезном отпуске электрической энергии (мощности) потребителям ООО "РУСЭНЕРГОСБЫТ" в границах Республики Бурятия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</si>
  <si>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Республики Бурятия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</si>
  <si>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Республики Бурятия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</si>
  <si>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Республики Бурятия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</si>
</sst>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1"/>
      <color theme="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9" fillId="0" borderId="0"/>
    <xf numFmtId="0" fontId="9" fillId="0" borderId="0"/>
    <xf numFmtId="0" fontId="12" fillId="0" borderId="0"/>
    <xf numFmtId="43" fontId="9" fillId="0" borderId="0" applyFont="0" applyFill="0" applyBorder="0" applyAlignment="0" applyProtection="0"/>
    <xf numFmtId="0" fontId="9" fillId="0" borderId="0"/>
    <xf numFmtId="0" fontId="13" fillId="0" borderId="0"/>
    <xf numFmtId="164" fontId="13" fillId="0" borderId="0" applyFont="0" applyFill="0" applyBorder="0" applyAlignment="0" applyProtection="0"/>
  </cellStyleXfs>
  <cellXfs count="36">
    <xf numFmtId="0" fontId="0" fillId="0" borderId="0" xfId="0"/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3" fontId="2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Border="1"/>
    <xf numFmtId="3" fontId="6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4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8" fillId="0" borderId="0" xfId="0" applyFont="1" applyAlignment="1">
      <alignment vertical="center"/>
    </xf>
    <xf numFmtId="3" fontId="5" fillId="0" borderId="3" xfId="0" applyNumberFormat="1" applyFont="1" applyBorder="1"/>
    <xf numFmtId="3" fontId="6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</cellXfs>
  <cellStyles count="13">
    <cellStyle name="Обычный" xfId="0" builtinId="0"/>
    <cellStyle name="Обычный 10" xfId="5"/>
    <cellStyle name="Обычный 2" xfId="2"/>
    <cellStyle name="Обычный 2 2" xfId="6"/>
    <cellStyle name="Обычный 2 2 3 2" xfId="3"/>
    <cellStyle name="Обычный 2 3" xfId="10"/>
    <cellStyle name="Обычный 3" xfId="11"/>
    <cellStyle name="Обычный 4" xfId="7"/>
    <cellStyle name="Стиль 1" xfId="8"/>
    <cellStyle name="Финансовый" xfId="1" builtinId="3"/>
    <cellStyle name="Финансовый 2" xfId="4"/>
    <cellStyle name="Финансовый 2 2" xfId="9"/>
    <cellStyle name="Финансовый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workbookViewId="0">
      <selection activeCell="B5" sqref="A5:XFD20"/>
    </sheetView>
  </sheetViews>
  <sheetFormatPr defaultColWidth="9.140625" defaultRowHeight="22.5" customHeight="1" x14ac:dyDescent="0.25"/>
  <cols>
    <col min="1" max="1" width="31.85546875" style="9" customWidth="1"/>
    <col min="2" max="2" width="14.85546875" style="9" customWidth="1"/>
    <col min="3" max="3" width="16" style="9" customWidth="1"/>
    <col min="4" max="4" width="16.7109375" style="9" customWidth="1"/>
    <col min="5" max="5" width="16.42578125" style="9" customWidth="1"/>
    <col min="6" max="6" width="15.85546875" style="9" customWidth="1"/>
    <col min="7" max="7" width="17.85546875" style="9" customWidth="1"/>
    <col min="8" max="8" width="18.42578125" style="9" customWidth="1"/>
    <col min="9" max="9" width="19.85546875" style="9" customWidth="1"/>
    <col min="10" max="10" width="21" style="9" customWidth="1"/>
    <col min="11" max="11" width="22.140625" style="9" customWidth="1"/>
    <col min="12" max="12" width="22.42578125" style="9" customWidth="1"/>
    <col min="13" max="13" width="24.28515625" style="9" customWidth="1"/>
    <col min="14" max="14" width="24.140625" style="9" customWidth="1"/>
    <col min="15" max="16384" width="9.140625" style="9"/>
  </cols>
  <sheetData>
    <row r="2" spans="1:14" s="11" customFormat="1" ht="42.75" customHeight="1" x14ac:dyDescent="0.25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0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29" t="s">
        <v>26</v>
      </c>
      <c r="B4" s="32" t="s">
        <v>20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3.25" customHeight="1" x14ac:dyDescent="0.25">
      <c r="A5" s="30"/>
      <c r="B5" s="3" t="s">
        <v>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23.25" customHeight="1" x14ac:dyDescent="0.25">
      <c r="A6" s="30"/>
      <c r="B6" s="3" t="s">
        <v>15</v>
      </c>
      <c r="C6" s="1">
        <v>91069</v>
      </c>
      <c r="D6" s="1">
        <v>41341</v>
      </c>
      <c r="E6" s="1">
        <v>13796</v>
      </c>
      <c r="F6" s="1">
        <v>5500</v>
      </c>
      <c r="G6" s="1">
        <v>5500</v>
      </c>
      <c r="H6" s="1">
        <v>0</v>
      </c>
      <c r="I6" s="1">
        <v>0</v>
      </c>
      <c r="J6" s="1">
        <v>0</v>
      </c>
      <c r="K6" s="1">
        <v>2750</v>
      </c>
      <c r="L6" s="1">
        <v>8250</v>
      </c>
      <c r="M6" s="1">
        <v>11319</v>
      </c>
      <c r="N6" s="1">
        <v>61600</v>
      </c>
    </row>
    <row r="7" spans="1:14" ht="23.25" customHeight="1" x14ac:dyDescent="0.25">
      <c r="A7" s="30"/>
      <c r="B7" s="3" t="s">
        <v>16</v>
      </c>
      <c r="C7" s="1">
        <v>910470</v>
      </c>
      <c r="D7" s="1">
        <v>950056</v>
      </c>
      <c r="E7" s="1">
        <v>677894</v>
      </c>
      <c r="F7" s="1">
        <v>662668</v>
      </c>
      <c r="G7" s="1">
        <v>260758</v>
      </c>
      <c r="H7" s="1">
        <v>178521</v>
      </c>
      <c r="I7" s="1">
        <v>431080</v>
      </c>
      <c r="J7" s="1">
        <v>278525</v>
      </c>
      <c r="K7" s="1">
        <v>350383</v>
      </c>
      <c r="L7" s="1">
        <v>624519</v>
      </c>
      <c r="M7" s="1">
        <v>298264</v>
      </c>
      <c r="N7" s="1">
        <v>744384</v>
      </c>
    </row>
    <row r="8" spans="1:14" ht="23.25" customHeight="1" x14ac:dyDescent="0.25">
      <c r="A8" s="30"/>
      <c r="B8" s="3" t="s">
        <v>17</v>
      </c>
      <c r="C8" s="1">
        <v>28319</v>
      </c>
      <c r="D8" s="1">
        <v>24549</v>
      </c>
      <c r="E8" s="1">
        <v>18247</v>
      </c>
      <c r="F8" s="1">
        <v>18365</v>
      </c>
      <c r="G8" s="1">
        <v>16374</v>
      </c>
      <c r="H8" s="1">
        <v>14147</v>
      </c>
      <c r="I8" s="1">
        <v>15444</v>
      </c>
      <c r="J8" s="1">
        <v>15031</v>
      </c>
      <c r="K8" s="1">
        <v>18158</v>
      </c>
      <c r="L8" s="1">
        <v>19980</v>
      </c>
      <c r="M8" s="1">
        <v>21669</v>
      </c>
      <c r="N8" s="1">
        <v>24824</v>
      </c>
    </row>
    <row r="9" spans="1:14" ht="23.25" customHeight="1" x14ac:dyDescent="0.25">
      <c r="A9" s="30"/>
      <c r="B9" s="32" t="s">
        <v>21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5"/>
    </row>
    <row r="10" spans="1:14" ht="23.25" customHeight="1" x14ac:dyDescent="0.25">
      <c r="A10" s="30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3.25" customHeight="1" x14ac:dyDescent="0.25">
      <c r="A11" s="31"/>
      <c r="B11" s="4" t="s">
        <v>18</v>
      </c>
      <c r="C11" s="1">
        <f t="shared" ref="C11:N11" si="0">SUM(C5:C8,C10)</f>
        <v>1029858</v>
      </c>
      <c r="D11" s="1">
        <f t="shared" si="0"/>
        <v>1015946</v>
      </c>
      <c r="E11" s="1">
        <f t="shared" si="0"/>
        <v>709937</v>
      </c>
      <c r="F11" s="1">
        <f t="shared" si="0"/>
        <v>686533</v>
      </c>
      <c r="G11" s="1">
        <f t="shared" si="0"/>
        <v>282632</v>
      </c>
      <c r="H11" s="1">
        <f t="shared" si="0"/>
        <v>192668</v>
      </c>
      <c r="I11" s="1">
        <f t="shared" si="0"/>
        <v>446524</v>
      </c>
      <c r="J11" s="1">
        <f t="shared" si="0"/>
        <v>293556</v>
      </c>
      <c r="K11" s="1">
        <f t="shared" si="0"/>
        <v>371291</v>
      </c>
      <c r="L11" s="1">
        <f t="shared" si="0"/>
        <v>652749</v>
      </c>
      <c r="M11" s="1">
        <f t="shared" si="0"/>
        <v>331252</v>
      </c>
      <c r="N11" s="1">
        <f t="shared" si="0"/>
        <v>830808</v>
      </c>
    </row>
    <row r="12" spans="1:14" ht="23.25" customHeight="1" x14ac:dyDescent="0.25">
      <c r="A12" s="29" t="s">
        <v>22</v>
      </c>
      <c r="B12" s="32" t="s">
        <v>20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</row>
    <row r="13" spans="1:14" ht="23.25" customHeight="1" x14ac:dyDescent="0.25">
      <c r="A13" s="30"/>
      <c r="B13" s="13" t="s">
        <v>14</v>
      </c>
      <c r="C13" s="1">
        <v>22252528</v>
      </c>
      <c r="D13" s="1">
        <v>21114859</v>
      </c>
      <c r="E13" s="1">
        <v>22454197</v>
      </c>
      <c r="F13" s="1">
        <v>22042907</v>
      </c>
      <c r="G13" s="1">
        <v>21821614</v>
      </c>
      <c r="H13" s="1">
        <v>19258004</v>
      </c>
      <c r="I13" s="1">
        <v>19180195</v>
      </c>
      <c r="J13" s="1">
        <v>20131977</v>
      </c>
      <c r="K13" s="1">
        <v>20851859</v>
      </c>
      <c r="L13" s="1">
        <v>23323308</v>
      </c>
      <c r="M13" s="1">
        <v>26491253</v>
      </c>
      <c r="N13" s="1">
        <v>27620209</v>
      </c>
    </row>
    <row r="14" spans="1:14" ht="23.25" customHeight="1" x14ac:dyDescent="0.25">
      <c r="A14" s="30"/>
      <c r="B14" s="13" t="s">
        <v>15</v>
      </c>
      <c r="C14" s="1">
        <v>404644</v>
      </c>
      <c r="D14" s="1">
        <v>451421</v>
      </c>
      <c r="E14" s="1">
        <v>476644</v>
      </c>
      <c r="F14" s="1">
        <v>15572</v>
      </c>
      <c r="G14" s="1">
        <v>78498</v>
      </c>
      <c r="H14" s="1">
        <v>4509</v>
      </c>
      <c r="I14" s="1">
        <v>3490</v>
      </c>
      <c r="J14" s="1">
        <v>141191</v>
      </c>
      <c r="K14" s="1">
        <v>8786</v>
      </c>
      <c r="L14" s="1">
        <v>128361</v>
      </c>
      <c r="M14" s="1">
        <v>18075</v>
      </c>
      <c r="N14" s="1">
        <v>13744</v>
      </c>
    </row>
    <row r="15" spans="1:14" ht="23.25" customHeight="1" x14ac:dyDescent="0.25">
      <c r="A15" s="30"/>
      <c r="B15" s="13" t="s">
        <v>16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3.25" customHeight="1" x14ac:dyDescent="0.25">
      <c r="A16" s="30"/>
      <c r="B16" s="13" t="s">
        <v>17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3.25" customHeight="1" x14ac:dyDescent="0.25">
      <c r="A17" s="30"/>
      <c r="B17" s="24" t="s">
        <v>21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ht="23.25" customHeight="1" x14ac:dyDescent="0.25">
      <c r="A18" s="30"/>
      <c r="B18" s="1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23.25" customHeight="1" x14ac:dyDescent="0.25">
      <c r="A19" s="31"/>
      <c r="B19" s="14" t="s">
        <v>18</v>
      </c>
      <c r="C19" s="1">
        <f>SUM(C13:C16,C18)</f>
        <v>22657172</v>
      </c>
      <c r="D19" s="1">
        <f t="shared" ref="D19:N19" si="1">SUM(D13:D16,D18)</f>
        <v>21566280</v>
      </c>
      <c r="E19" s="1">
        <f t="shared" si="1"/>
        <v>22930841</v>
      </c>
      <c r="F19" s="1">
        <f t="shared" si="1"/>
        <v>22058479</v>
      </c>
      <c r="G19" s="1">
        <f t="shared" si="1"/>
        <v>21900112</v>
      </c>
      <c r="H19" s="1">
        <f t="shared" si="1"/>
        <v>19262513</v>
      </c>
      <c r="I19" s="1">
        <f t="shared" si="1"/>
        <v>19183685</v>
      </c>
      <c r="J19" s="1">
        <f t="shared" si="1"/>
        <v>20273168</v>
      </c>
      <c r="K19" s="1">
        <f t="shared" si="1"/>
        <v>20860645</v>
      </c>
      <c r="L19" s="1">
        <f t="shared" si="1"/>
        <v>23451669</v>
      </c>
      <c r="M19" s="1">
        <f t="shared" si="1"/>
        <v>26509328</v>
      </c>
      <c r="N19" s="1">
        <f t="shared" si="1"/>
        <v>27633953</v>
      </c>
    </row>
    <row r="20" spans="1:14" ht="23.25" customHeight="1" x14ac:dyDescent="0.25">
      <c r="A20" s="26" t="s">
        <v>18</v>
      </c>
      <c r="B20" s="27"/>
      <c r="C20" s="8">
        <f>C11+C19</f>
        <v>23687030</v>
      </c>
      <c r="D20" s="8">
        <f t="shared" ref="D20:N20" si="2">D11+D19</f>
        <v>22582226</v>
      </c>
      <c r="E20" s="8">
        <f t="shared" si="2"/>
        <v>23640778</v>
      </c>
      <c r="F20" s="8">
        <f t="shared" si="2"/>
        <v>22745012</v>
      </c>
      <c r="G20" s="8">
        <f t="shared" si="2"/>
        <v>22182744</v>
      </c>
      <c r="H20" s="8">
        <f t="shared" si="2"/>
        <v>19455181</v>
      </c>
      <c r="I20" s="8">
        <f t="shared" si="2"/>
        <v>19630209</v>
      </c>
      <c r="J20" s="8">
        <f t="shared" si="2"/>
        <v>20566724</v>
      </c>
      <c r="K20" s="8">
        <f t="shared" si="2"/>
        <v>21231936</v>
      </c>
      <c r="L20" s="8">
        <f t="shared" si="2"/>
        <v>24104418</v>
      </c>
      <c r="M20" s="8">
        <f t="shared" si="2"/>
        <v>26840580</v>
      </c>
      <c r="N20" s="8">
        <f t="shared" si="2"/>
        <v>28464761</v>
      </c>
    </row>
  </sheetData>
  <mergeCells count="8">
    <mergeCell ref="B17:N17"/>
    <mergeCell ref="A20:B20"/>
    <mergeCell ref="A2:N2"/>
    <mergeCell ref="A4:A11"/>
    <mergeCell ref="B4:N4"/>
    <mergeCell ref="B9:N9"/>
    <mergeCell ref="A12:A19"/>
    <mergeCell ref="B12:N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25"/>
  <sheetViews>
    <sheetView zoomScale="70" zoomScaleNormal="70" workbookViewId="0">
      <selection activeCell="J33" sqref="J33"/>
    </sheetView>
  </sheetViews>
  <sheetFormatPr defaultColWidth="9.140625" defaultRowHeight="22.5" customHeight="1" x14ac:dyDescent="0.25"/>
  <cols>
    <col min="1" max="1" width="24.85546875" style="9" customWidth="1"/>
    <col min="2" max="2" width="14.85546875" style="9" customWidth="1"/>
    <col min="3" max="3" width="14.85546875" style="9" hidden="1" customWidth="1"/>
    <col min="4" max="4" width="20.42578125" style="9" customWidth="1"/>
    <col min="5" max="6" width="20.42578125" style="9" hidden="1" customWidth="1"/>
    <col min="7" max="7" width="20.42578125" style="9" customWidth="1"/>
    <col min="8" max="9" width="20.42578125" style="9" hidden="1" customWidth="1"/>
    <col min="10" max="10" width="20.42578125" style="9" customWidth="1"/>
    <col min="11" max="12" width="20.42578125" style="9" hidden="1" customWidth="1"/>
    <col min="13" max="13" width="20.42578125" style="9" customWidth="1"/>
    <col min="14" max="16" width="20.42578125" style="9" hidden="1" customWidth="1"/>
    <col min="17" max="17" width="20.42578125" style="9" customWidth="1"/>
    <col min="18" max="20" width="20.42578125" style="9" hidden="1" customWidth="1"/>
    <col min="21" max="21" width="20.42578125" style="9" customWidth="1"/>
    <col min="22" max="24" width="20.42578125" style="9" hidden="1" customWidth="1"/>
    <col min="25" max="25" width="20.42578125" style="9" customWidth="1"/>
    <col min="26" max="28" width="20.42578125" style="9" hidden="1" customWidth="1"/>
    <col min="29" max="29" width="20.42578125" style="9" customWidth="1"/>
    <col min="30" max="31" width="20.42578125" style="9" hidden="1" customWidth="1"/>
    <col min="32" max="32" width="20.42578125" style="9" customWidth="1"/>
    <col min="33" max="35" width="20.42578125" style="9" hidden="1" customWidth="1"/>
    <col min="36" max="36" width="20.42578125" style="9" customWidth="1"/>
    <col min="37" max="39" width="20.42578125" style="9" hidden="1" customWidth="1"/>
    <col min="40" max="40" width="20.42578125" style="9" customWidth="1"/>
    <col min="41" max="43" width="20.42578125" style="9" hidden="1" customWidth="1"/>
    <col min="44" max="44" width="20.42578125" style="9" customWidth="1"/>
    <col min="45" max="45" width="9.140625" style="18"/>
    <col min="46" max="16384" width="9.140625" style="9"/>
  </cols>
  <sheetData>
    <row r="2" spans="1:45" s="11" customFormat="1" ht="42.75" customHeight="1" x14ac:dyDescent="0.25">
      <c r="A2" s="28" t="s">
        <v>36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18"/>
    </row>
    <row r="3" spans="1:45" s="12" customFormat="1" ht="33" customHeight="1" x14ac:dyDescent="0.25">
      <c r="A3" s="5" t="s">
        <v>0</v>
      </c>
      <c r="B3" s="6" t="s">
        <v>1</v>
      </c>
      <c r="C3" s="6"/>
      <c r="D3" s="7" t="s">
        <v>2</v>
      </c>
      <c r="E3" s="7"/>
      <c r="F3" s="7"/>
      <c r="G3" s="7" t="s">
        <v>3</v>
      </c>
      <c r="H3" s="7"/>
      <c r="I3" s="7"/>
      <c r="J3" s="7" t="s">
        <v>4</v>
      </c>
      <c r="K3" s="7"/>
      <c r="L3" s="7"/>
      <c r="M3" s="7" t="s">
        <v>5</v>
      </c>
      <c r="N3" s="7"/>
      <c r="O3" s="7"/>
      <c r="P3" s="7"/>
      <c r="Q3" s="7" t="s">
        <v>6</v>
      </c>
      <c r="R3" s="7"/>
      <c r="S3" s="7"/>
      <c r="T3" s="7"/>
      <c r="U3" s="7" t="s">
        <v>7</v>
      </c>
      <c r="V3" s="7"/>
      <c r="W3" s="7"/>
      <c r="X3" s="7"/>
      <c r="Y3" s="7" t="s">
        <v>8</v>
      </c>
      <c r="Z3" s="7"/>
      <c r="AA3" s="7"/>
      <c r="AB3" s="7"/>
      <c r="AC3" s="7" t="s">
        <v>9</v>
      </c>
      <c r="AD3" s="7"/>
      <c r="AE3" s="7"/>
      <c r="AF3" s="7" t="s">
        <v>10</v>
      </c>
      <c r="AG3" s="7"/>
      <c r="AH3" s="7"/>
      <c r="AI3" s="7"/>
      <c r="AJ3" s="7" t="s">
        <v>11</v>
      </c>
      <c r="AK3" s="7"/>
      <c r="AL3" s="7"/>
      <c r="AM3" s="7"/>
      <c r="AN3" s="7" t="s">
        <v>12</v>
      </c>
      <c r="AO3" s="7"/>
      <c r="AP3" s="7"/>
      <c r="AQ3" s="7"/>
      <c r="AR3" s="7" t="s">
        <v>13</v>
      </c>
      <c r="AS3" s="20"/>
    </row>
    <row r="4" spans="1:45" s="11" customFormat="1" ht="22.5" customHeight="1" x14ac:dyDescent="0.25">
      <c r="A4" s="29" t="s">
        <v>33</v>
      </c>
      <c r="B4" s="32" t="s">
        <v>20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5"/>
      <c r="AS4" s="18"/>
    </row>
    <row r="5" spans="1:45" ht="22.5" customHeight="1" x14ac:dyDescent="0.25">
      <c r="A5" s="30"/>
      <c r="B5" s="3" t="s">
        <v>15</v>
      </c>
      <c r="C5" s="3">
        <v>1.3136558784676353</v>
      </c>
      <c r="D5" s="15">
        <f>68890+34954</f>
        <v>103844</v>
      </c>
      <c r="E5" s="15"/>
      <c r="F5" s="15">
        <v>0.41370749795738798</v>
      </c>
      <c r="G5" s="15">
        <v>40407</v>
      </c>
      <c r="H5" s="15"/>
      <c r="I5" s="15">
        <v>0.76126091910368399</v>
      </c>
      <c r="J5" s="15">
        <v>11379</v>
      </c>
      <c r="K5" s="15"/>
      <c r="L5" s="15">
        <v>0.78217920574735578</v>
      </c>
      <c r="M5" s="15">
        <v>7191</v>
      </c>
      <c r="N5" s="15"/>
      <c r="O5" s="15"/>
      <c r="P5" s="15">
        <v>0.44916443423906111</v>
      </c>
      <c r="Q5" s="15">
        <v>2948</v>
      </c>
      <c r="R5" s="15"/>
      <c r="S5" s="15"/>
      <c r="T5" s="15">
        <v>0</v>
      </c>
      <c r="U5" s="15">
        <v>0</v>
      </c>
      <c r="V5" s="15"/>
      <c r="W5" s="15"/>
      <c r="X5" s="15">
        <v>0</v>
      </c>
      <c r="Y5" s="15">
        <v>0</v>
      </c>
      <c r="Z5" s="15"/>
      <c r="AA5" s="15"/>
      <c r="AB5" s="15">
        <v>0</v>
      </c>
      <c r="AC5" s="15">
        <f>Y5*AB5</f>
        <v>0</v>
      </c>
      <c r="AD5" s="15"/>
      <c r="AE5" s="15">
        <v>0</v>
      </c>
      <c r="AF5" s="15">
        <v>2544</v>
      </c>
      <c r="AG5" s="15"/>
      <c r="AH5" s="15"/>
      <c r="AI5" s="15">
        <v>5.8724528301886796</v>
      </c>
      <c r="AJ5" s="15">
        <v>5588</v>
      </c>
      <c r="AK5" s="15"/>
      <c r="AL5" s="15"/>
      <c r="AM5" s="15">
        <v>1.174399177483614</v>
      </c>
      <c r="AN5" s="15">
        <v>15404</v>
      </c>
      <c r="AO5" s="15"/>
      <c r="AP5" s="15"/>
      <c r="AQ5" s="15">
        <v>3.3408842197417377</v>
      </c>
      <c r="AR5" s="15">
        <v>27479</v>
      </c>
    </row>
    <row r="6" spans="1:45" ht="22.5" customHeight="1" x14ac:dyDescent="0.25">
      <c r="A6" s="30"/>
      <c r="B6" s="3" t="s">
        <v>16</v>
      </c>
      <c r="C6" s="3">
        <v>1.1252175585364681</v>
      </c>
      <c r="D6" s="15">
        <v>73659</v>
      </c>
      <c r="E6" s="15"/>
      <c r="F6" s="15">
        <v>0.74731021988258117</v>
      </c>
      <c r="G6" s="15">
        <v>83119</v>
      </c>
      <c r="H6" s="15"/>
      <c r="I6" s="15">
        <v>0.96499634068246276</v>
      </c>
      <c r="J6" s="15">
        <v>85660</v>
      </c>
      <c r="K6" s="15"/>
      <c r="L6" s="15">
        <v>0.70625257444867096</v>
      </c>
      <c r="M6" s="15">
        <f>43164+20591</f>
        <v>63755</v>
      </c>
      <c r="N6" s="15"/>
      <c r="O6" s="15"/>
      <c r="P6" s="15">
        <v>0.6817449341373083</v>
      </c>
      <c r="Q6" s="15">
        <v>42599</v>
      </c>
      <c r="R6" s="15"/>
      <c r="S6" s="15"/>
      <c r="T6" s="15">
        <v>0.89687676896950608</v>
      </c>
      <c r="U6" s="15">
        <f>32208+1012</f>
        <v>33220</v>
      </c>
      <c r="V6" s="15"/>
      <c r="W6" s="15"/>
      <c r="X6" s="15">
        <v>0.94426607392771877</v>
      </c>
      <c r="Y6" s="15">
        <v>30595</v>
      </c>
      <c r="Z6" s="15"/>
      <c r="AA6" s="15"/>
      <c r="AB6" s="15">
        <v>0.98204010462074975</v>
      </c>
      <c r="AC6" s="15">
        <v>33665</v>
      </c>
      <c r="AD6" s="15"/>
      <c r="AE6" s="15">
        <v>1.2081261837121211</v>
      </c>
      <c r="AF6" s="15">
        <v>41377</v>
      </c>
      <c r="AG6" s="15"/>
      <c r="AH6" s="15"/>
      <c r="AI6" s="15">
        <v>1.5361420698101653</v>
      </c>
      <c r="AJ6" s="15">
        <v>62769</v>
      </c>
      <c r="AK6" s="15"/>
      <c r="AL6" s="15"/>
      <c r="AM6" s="15">
        <v>1.2095897182402373</v>
      </c>
      <c r="AN6" s="15">
        <v>67924</v>
      </c>
      <c r="AO6" s="15"/>
      <c r="AP6" s="15"/>
      <c r="AQ6" s="15">
        <v>1.2944751308382878</v>
      </c>
      <c r="AR6" s="15">
        <v>100772</v>
      </c>
    </row>
    <row r="7" spans="1:45" ht="22.5" customHeight="1" x14ac:dyDescent="0.25">
      <c r="A7" s="30"/>
      <c r="B7" s="3" t="s">
        <v>17</v>
      </c>
      <c r="C7" s="3">
        <v>0.92480757844878625</v>
      </c>
      <c r="D7" s="15">
        <v>9370</v>
      </c>
      <c r="E7" s="15"/>
      <c r="F7" s="15">
        <v>1.1485275288092189</v>
      </c>
      <c r="G7" s="15">
        <v>7530</v>
      </c>
      <c r="H7" s="15"/>
      <c r="I7" s="15">
        <v>0.87569676700111487</v>
      </c>
      <c r="J7" s="15">
        <v>7455</v>
      </c>
      <c r="K7" s="15"/>
      <c r="L7" s="15">
        <v>0.84786760025461494</v>
      </c>
      <c r="M7" s="15">
        <v>5133</v>
      </c>
      <c r="N7" s="15"/>
      <c r="O7" s="15"/>
      <c r="P7" s="15">
        <v>1.0075075075075075</v>
      </c>
      <c r="Q7" s="15">
        <v>4147</v>
      </c>
      <c r="R7" s="15"/>
      <c r="S7" s="15"/>
      <c r="T7" s="15">
        <v>0.91505216095380026</v>
      </c>
      <c r="U7" s="15">
        <v>4192</v>
      </c>
      <c r="V7" s="15"/>
      <c r="W7" s="15"/>
      <c r="X7" s="15">
        <v>1.0781758957654723</v>
      </c>
      <c r="Y7" s="15">
        <v>4258</v>
      </c>
      <c r="Z7" s="15"/>
      <c r="AA7" s="15"/>
      <c r="AB7" s="15">
        <v>1.052870090634441</v>
      </c>
      <c r="AC7" s="15">
        <v>4240</v>
      </c>
      <c r="AD7" s="15"/>
      <c r="AE7" s="15">
        <v>1.043041606886657</v>
      </c>
      <c r="AF7" s="15">
        <v>4037</v>
      </c>
      <c r="AG7" s="15"/>
      <c r="AH7" s="15"/>
      <c r="AI7" s="15">
        <v>1.0116918844566714</v>
      </c>
      <c r="AJ7" s="15">
        <v>3951</v>
      </c>
      <c r="AK7" s="15"/>
      <c r="AL7" s="15"/>
      <c r="AM7" s="15">
        <v>1.0557443915703604</v>
      </c>
      <c r="AN7" s="15">
        <v>4551</v>
      </c>
      <c r="AO7" s="15"/>
      <c r="AP7" s="15"/>
      <c r="AQ7" s="15">
        <v>1.2086284610431424</v>
      </c>
      <c r="AR7" s="15">
        <v>5735</v>
      </c>
    </row>
    <row r="8" spans="1:45" ht="22.5" customHeight="1" x14ac:dyDescent="0.25">
      <c r="A8" s="30"/>
      <c r="B8" s="32" t="s">
        <v>21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5"/>
    </row>
    <row r="9" spans="1:45" ht="22.5" customHeight="1" x14ac:dyDescent="0.25">
      <c r="A9" s="30"/>
      <c r="B9" s="2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5" ht="22.5" customHeight="1" x14ac:dyDescent="0.25">
      <c r="A10" s="31"/>
      <c r="B10" s="21" t="s">
        <v>18</v>
      </c>
      <c r="C10" s="21"/>
      <c r="D10" s="16">
        <f t="shared" ref="D10:AR10" si="0">SUM(D5:D7,D9)</f>
        <v>186873</v>
      </c>
      <c r="E10" s="16"/>
      <c r="F10" s="16"/>
      <c r="G10" s="16">
        <f t="shared" si="0"/>
        <v>131056</v>
      </c>
      <c r="H10" s="16"/>
      <c r="I10" s="16"/>
      <c r="J10" s="16">
        <f t="shared" si="0"/>
        <v>104494</v>
      </c>
      <c r="K10" s="16"/>
      <c r="L10" s="16"/>
      <c r="M10" s="16">
        <f t="shared" si="0"/>
        <v>76079</v>
      </c>
      <c r="N10" s="16"/>
      <c r="O10" s="16"/>
      <c r="P10" s="16"/>
      <c r="Q10" s="16">
        <f t="shared" si="0"/>
        <v>49694</v>
      </c>
      <c r="R10" s="16"/>
      <c r="S10" s="16"/>
      <c r="T10" s="16"/>
      <c r="U10" s="16">
        <f t="shared" si="0"/>
        <v>37412</v>
      </c>
      <c r="V10" s="16"/>
      <c r="W10" s="16"/>
      <c r="X10" s="16"/>
      <c r="Y10" s="16">
        <f t="shared" si="0"/>
        <v>34853</v>
      </c>
      <c r="Z10" s="16"/>
      <c r="AA10" s="16"/>
      <c r="AB10" s="16"/>
      <c r="AC10" s="16">
        <f t="shared" si="0"/>
        <v>37905</v>
      </c>
      <c r="AD10" s="16"/>
      <c r="AE10" s="16"/>
      <c r="AF10" s="16">
        <f t="shared" si="0"/>
        <v>47958</v>
      </c>
      <c r="AG10" s="16"/>
      <c r="AH10" s="16"/>
      <c r="AI10" s="16"/>
      <c r="AJ10" s="16">
        <f t="shared" si="0"/>
        <v>72308</v>
      </c>
      <c r="AK10" s="16"/>
      <c r="AL10" s="16"/>
      <c r="AM10" s="16"/>
      <c r="AN10" s="16">
        <f t="shared" si="0"/>
        <v>87879</v>
      </c>
      <c r="AO10" s="16"/>
      <c r="AP10" s="16"/>
      <c r="AQ10" s="16"/>
      <c r="AR10" s="16">
        <f t="shared" si="0"/>
        <v>133986</v>
      </c>
    </row>
    <row r="11" spans="1:45" ht="22.5" customHeight="1" x14ac:dyDescent="0.25">
      <c r="A11" s="29" t="s">
        <v>34</v>
      </c>
      <c r="B11" s="33" t="s">
        <v>20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5"/>
    </row>
    <row r="12" spans="1:45" ht="22.5" customHeight="1" x14ac:dyDescent="0.25">
      <c r="A12" s="30"/>
      <c r="B12" s="22" t="s">
        <v>19</v>
      </c>
      <c r="C12" s="22">
        <v>1.0503298276187547</v>
      </c>
      <c r="D12" s="15">
        <v>91222172</v>
      </c>
      <c r="E12" s="15"/>
      <c r="F12" s="15">
        <v>0.85916930541654368</v>
      </c>
      <c r="G12" s="15">
        <v>84372083</v>
      </c>
      <c r="H12" s="15"/>
      <c r="I12" s="15">
        <v>1.0744855788040766</v>
      </c>
      <c r="J12" s="15">
        <v>88334590</v>
      </c>
      <c r="K12" s="15"/>
      <c r="L12" s="15">
        <v>1.0173175061317243</v>
      </c>
      <c r="M12" s="15">
        <v>82875915</v>
      </c>
      <c r="N12" s="15"/>
      <c r="O12" s="15"/>
      <c r="P12" s="15">
        <v>0.96107191544480686</v>
      </c>
      <c r="Q12" s="15">
        <v>79442522</v>
      </c>
      <c r="R12" s="15"/>
      <c r="S12" s="15"/>
      <c r="T12" s="15">
        <v>0.92616431352270467</v>
      </c>
      <c r="U12" s="15">
        <v>77196484</v>
      </c>
      <c r="V12" s="15"/>
      <c r="W12" s="15"/>
      <c r="X12" s="15">
        <v>0.95799406602698978</v>
      </c>
      <c r="Y12" s="15">
        <v>78209125</v>
      </c>
      <c r="Z12" s="15"/>
      <c r="AA12" s="15"/>
      <c r="AB12" s="15">
        <v>1.0807052165263045</v>
      </c>
      <c r="AC12" s="15">
        <v>79389593</v>
      </c>
      <c r="AD12" s="15"/>
      <c r="AE12" s="15">
        <v>0.96739337727769492</v>
      </c>
      <c r="AF12" s="15">
        <v>75573779</v>
      </c>
      <c r="AG12" s="15"/>
      <c r="AH12" s="15"/>
      <c r="AI12" s="15">
        <v>1.1142471870335626</v>
      </c>
      <c r="AJ12" s="15">
        <v>85424932</v>
      </c>
      <c r="AK12" s="15"/>
      <c r="AL12" s="15"/>
      <c r="AM12" s="15">
        <v>1.0413836841717963</v>
      </c>
      <c r="AN12" s="15">
        <v>87941465</v>
      </c>
      <c r="AO12" s="15"/>
      <c r="AP12" s="15"/>
      <c r="AQ12" s="15">
        <v>0.97109688291506013</v>
      </c>
      <c r="AR12" s="15">
        <f>83942267+10249736</f>
        <v>94192003</v>
      </c>
    </row>
    <row r="13" spans="1:45" ht="22.5" customHeight="1" x14ac:dyDescent="0.25">
      <c r="A13" s="30"/>
      <c r="B13" s="22" t="s">
        <v>14</v>
      </c>
      <c r="C13" s="22">
        <v>1.0136643807922081</v>
      </c>
      <c r="D13" s="15">
        <v>16692729</v>
      </c>
      <c r="E13" s="15"/>
      <c r="F13" s="15">
        <v>0.86172267682177295</v>
      </c>
      <c r="G13" s="15">
        <v>14546329</v>
      </c>
      <c r="H13" s="15"/>
      <c r="I13" s="15">
        <v>1.09822111617971</v>
      </c>
      <c r="J13" s="15">
        <v>15624631</v>
      </c>
      <c r="K13" s="15"/>
      <c r="L13" s="15">
        <v>0.56808632551804727</v>
      </c>
      <c r="M13" s="15">
        <v>14850127</v>
      </c>
      <c r="N13" s="15"/>
      <c r="O13" s="15"/>
      <c r="P13" s="15">
        <v>1.0407648856129863</v>
      </c>
      <c r="Q13" s="15">
        <v>14308544.961089907</v>
      </c>
      <c r="R13" s="15"/>
      <c r="S13" s="15"/>
      <c r="T13" s="15">
        <v>0.90168769686276651</v>
      </c>
      <c r="U13" s="15">
        <v>13786685</v>
      </c>
      <c r="V13" s="15"/>
      <c r="W13" s="15"/>
      <c r="X13" s="15">
        <v>0.8904066180503768</v>
      </c>
      <c r="Y13" s="15">
        <v>14535443</v>
      </c>
      <c r="Z13" s="15"/>
      <c r="AA13" s="15"/>
      <c r="AB13" s="15">
        <v>1.0863241823631946</v>
      </c>
      <c r="AC13" s="15">
        <v>13906025</v>
      </c>
      <c r="AD13" s="15"/>
      <c r="AE13" s="15">
        <v>1.0356773568107283</v>
      </c>
      <c r="AF13" s="15">
        <v>13577770</v>
      </c>
      <c r="AG13" s="15"/>
      <c r="AH13" s="15"/>
      <c r="AI13" s="15">
        <v>1.0848978558957356</v>
      </c>
      <c r="AJ13" s="15">
        <v>15583458</v>
      </c>
      <c r="AK13" s="15"/>
      <c r="AL13" s="15"/>
      <c r="AM13" s="15">
        <v>1.0750361399433876</v>
      </c>
      <c r="AN13" s="15">
        <v>16539035</v>
      </c>
      <c r="AO13" s="15"/>
      <c r="AP13" s="15"/>
      <c r="AQ13" s="15">
        <v>0.95614491733660201</v>
      </c>
      <c r="AR13" s="15">
        <v>17728836.516483042</v>
      </c>
    </row>
    <row r="14" spans="1:45" ht="22.5" customHeight="1" x14ac:dyDescent="0.25">
      <c r="A14" s="30"/>
      <c r="B14" s="22" t="s">
        <v>15</v>
      </c>
      <c r="C14" s="22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1:45" ht="22.5" customHeight="1" x14ac:dyDescent="0.25">
      <c r="A15" s="30"/>
      <c r="B15" s="22" t="s">
        <v>16</v>
      </c>
      <c r="C15" s="22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1:45" ht="22.5" customHeight="1" x14ac:dyDescent="0.25">
      <c r="A16" s="30"/>
      <c r="B16" s="13" t="s">
        <v>17</v>
      </c>
      <c r="C16" s="1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"/>
      <c r="W16" s="1"/>
      <c r="X16" s="1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1:44" ht="22.5" customHeight="1" x14ac:dyDescent="0.25">
      <c r="A17" s="30"/>
      <c r="B17" s="24" t="s">
        <v>21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5"/>
    </row>
    <row r="18" spans="1:44" ht="22.5" customHeight="1" x14ac:dyDescent="0.25">
      <c r="A18" s="30"/>
      <c r="B18" s="13"/>
      <c r="C18" s="13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1:44" ht="22.5" customHeight="1" x14ac:dyDescent="0.25">
      <c r="A19" s="31"/>
      <c r="B19" s="14" t="s">
        <v>18</v>
      </c>
      <c r="C19" s="14"/>
      <c r="D19" s="8">
        <f>SUM(D12:D16,D18)</f>
        <v>107914901</v>
      </c>
      <c r="E19" s="8"/>
      <c r="F19" s="8"/>
      <c r="G19" s="8">
        <f t="shared" ref="G19:AR19" si="1">SUM(G12:G16,G18)</f>
        <v>98918412</v>
      </c>
      <c r="H19" s="8"/>
      <c r="I19" s="8"/>
      <c r="J19" s="8">
        <f t="shared" si="1"/>
        <v>103959221</v>
      </c>
      <c r="K19" s="8"/>
      <c r="L19" s="8"/>
      <c r="M19" s="8">
        <f t="shared" si="1"/>
        <v>97726042</v>
      </c>
      <c r="N19" s="8"/>
      <c r="O19" s="8"/>
      <c r="P19" s="8"/>
      <c r="Q19" s="8">
        <f t="shared" si="1"/>
        <v>93751066.961089909</v>
      </c>
      <c r="R19" s="8"/>
      <c r="S19" s="8"/>
      <c r="T19" s="8"/>
      <c r="U19" s="8">
        <f t="shared" si="1"/>
        <v>90983169</v>
      </c>
      <c r="V19" s="8"/>
      <c r="W19" s="8"/>
      <c r="X19" s="8"/>
      <c r="Y19" s="8">
        <f t="shared" si="1"/>
        <v>92744568</v>
      </c>
      <c r="Z19" s="8"/>
      <c r="AA19" s="8"/>
      <c r="AB19" s="8"/>
      <c r="AC19" s="8">
        <f t="shared" si="1"/>
        <v>93295618</v>
      </c>
      <c r="AD19" s="8"/>
      <c r="AE19" s="8"/>
      <c r="AF19" s="8">
        <f t="shared" si="1"/>
        <v>89151549</v>
      </c>
      <c r="AG19" s="8"/>
      <c r="AH19" s="8"/>
      <c r="AI19" s="8"/>
      <c r="AJ19" s="8">
        <f t="shared" si="1"/>
        <v>101008390</v>
      </c>
      <c r="AK19" s="8"/>
      <c r="AL19" s="8"/>
      <c r="AM19" s="8"/>
      <c r="AN19" s="8">
        <f t="shared" si="1"/>
        <v>104480500</v>
      </c>
      <c r="AO19" s="8"/>
      <c r="AP19" s="8"/>
      <c r="AQ19" s="8"/>
      <c r="AR19" s="8">
        <f t="shared" si="1"/>
        <v>111920839.51648304</v>
      </c>
    </row>
    <row r="20" spans="1:44" ht="22.5" customHeight="1" x14ac:dyDescent="0.25">
      <c r="A20" s="26" t="s">
        <v>18</v>
      </c>
      <c r="B20" s="27"/>
      <c r="C20" s="23"/>
      <c r="D20" s="8">
        <f>D10+D19</f>
        <v>108101774</v>
      </c>
      <c r="E20" s="8"/>
      <c r="F20" s="8"/>
      <c r="G20" s="8">
        <f t="shared" ref="G20:AR20" si="2">G10+G19</f>
        <v>99049468</v>
      </c>
      <c r="H20" s="8"/>
      <c r="I20" s="8"/>
      <c r="J20" s="8">
        <f t="shared" si="2"/>
        <v>104063715</v>
      </c>
      <c r="K20" s="8"/>
      <c r="L20" s="8"/>
      <c r="M20" s="8">
        <f t="shared" si="2"/>
        <v>97802121</v>
      </c>
      <c r="N20" s="8"/>
      <c r="O20" s="8"/>
      <c r="P20" s="8"/>
      <c r="Q20" s="8">
        <f t="shared" si="2"/>
        <v>93800760.961089909</v>
      </c>
      <c r="R20" s="8"/>
      <c r="S20" s="8"/>
      <c r="T20" s="8"/>
      <c r="U20" s="8">
        <f t="shared" si="2"/>
        <v>91020581</v>
      </c>
      <c r="V20" s="8"/>
      <c r="W20" s="8"/>
      <c r="X20" s="8"/>
      <c r="Y20" s="8">
        <f t="shared" si="2"/>
        <v>92779421</v>
      </c>
      <c r="Z20" s="8"/>
      <c r="AA20" s="8"/>
      <c r="AB20" s="8"/>
      <c r="AC20" s="16">
        <f t="shared" si="2"/>
        <v>93333523</v>
      </c>
      <c r="AD20" s="16"/>
      <c r="AE20" s="16"/>
      <c r="AF20" s="16">
        <f t="shared" si="2"/>
        <v>89199507</v>
      </c>
      <c r="AG20" s="16"/>
      <c r="AH20" s="16"/>
      <c r="AI20" s="16"/>
      <c r="AJ20" s="8">
        <f t="shared" si="2"/>
        <v>101080698</v>
      </c>
      <c r="AK20" s="8"/>
      <c r="AL20" s="8"/>
      <c r="AM20" s="8"/>
      <c r="AN20" s="16">
        <f t="shared" si="2"/>
        <v>104568379</v>
      </c>
      <c r="AO20" s="16"/>
      <c r="AP20" s="16"/>
      <c r="AQ20" s="16"/>
      <c r="AR20" s="16">
        <f t="shared" si="2"/>
        <v>112054825.51648304</v>
      </c>
    </row>
    <row r="25" spans="1:44" ht="22.5" customHeight="1" x14ac:dyDescent="0.25">
      <c r="AJ25" s="17"/>
      <c r="AK25" s="17"/>
      <c r="AL25" s="17"/>
      <c r="AM25" s="17"/>
    </row>
  </sheetData>
  <mergeCells count="8">
    <mergeCell ref="A20:B20"/>
    <mergeCell ref="A2:AR2"/>
    <mergeCell ref="A4:A10"/>
    <mergeCell ref="B4:AR4"/>
    <mergeCell ref="B8:AR8"/>
    <mergeCell ref="A11:A19"/>
    <mergeCell ref="B11:AR11"/>
    <mergeCell ref="B17:AR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zoomScale="85" zoomScaleNormal="85" workbookViewId="0">
      <selection sqref="A1:XFD1048576"/>
    </sheetView>
  </sheetViews>
  <sheetFormatPr defaultColWidth="9.140625" defaultRowHeight="22.5" customHeight="1" x14ac:dyDescent="0.25"/>
  <cols>
    <col min="1" max="1" width="24.85546875" style="9" customWidth="1"/>
    <col min="2" max="2" width="14.85546875" style="9" customWidth="1"/>
    <col min="3" max="14" width="20.42578125" style="9" customWidth="1"/>
    <col min="15" max="16384" width="9.140625" style="9"/>
  </cols>
  <sheetData>
    <row r="2" spans="1:14" s="11" customFormat="1" ht="42.75" customHeight="1" x14ac:dyDescent="0.25">
      <c r="A2" s="28" t="s">
        <v>37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s="11" customFormat="1" ht="22.5" customHeight="1" x14ac:dyDescent="0.25">
      <c r="A4" s="29" t="s">
        <v>33</v>
      </c>
      <c r="B4" s="32" t="s">
        <v>20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30"/>
      <c r="B5" s="3" t="s">
        <v>15</v>
      </c>
      <c r="C5" s="15">
        <v>45721</v>
      </c>
      <c r="D5" s="15">
        <v>31770</v>
      </c>
      <c r="E5" s="15">
        <v>15778</v>
      </c>
      <c r="F5" s="15">
        <v>10033</v>
      </c>
      <c r="G5" s="15">
        <v>3265</v>
      </c>
      <c r="H5" s="15">
        <v>0</v>
      </c>
      <c r="I5" s="15">
        <v>0</v>
      </c>
      <c r="J5" s="15">
        <v>0</v>
      </c>
      <c r="K5" s="15">
        <v>3368</v>
      </c>
      <c r="L5" s="15">
        <v>8964</v>
      </c>
      <c r="M5" s="15">
        <v>18463</v>
      </c>
      <c r="N5" s="15">
        <v>42309</v>
      </c>
    </row>
    <row r="6" spans="1:14" ht="22.5" customHeight="1" x14ac:dyDescent="0.25">
      <c r="A6" s="30"/>
      <c r="B6" s="3" t="s">
        <v>16</v>
      </c>
      <c r="C6" s="15">
        <v>77498</v>
      </c>
      <c r="D6" s="15">
        <v>54038</v>
      </c>
      <c r="E6" s="15">
        <v>49959</v>
      </c>
      <c r="F6" s="15">
        <v>48479</v>
      </c>
      <c r="G6" s="15">
        <v>41449</v>
      </c>
      <c r="H6" s="15">
        <v>35109</v>
      </c>
      <c r="I6" s="15">
        <v>32571</v>
      </c>
      <c r="J6" s="15">
        <v>35102</v>
      </c>
      <c r="K6" s="15">
        <v>35563</v>
      </c>
      <c r="L6" s="15">
        <v>44247</v>
      </c>
      <c r="M6" s="15">
        <v>46467</v>
      </c>
      <c r="N6" s="15">
        <v>69618</v>
      </c>
    </row>
    <row r="7" spans="1:14" ht="22.5" customHeight="1" x14ac:dyDescent="0.25">
      <c r="A7" s="30"/>
      <c r="B7" s="3" t="s">
        <v>17</v>
      </c>
      <c r="C7" s="15">
        <v>6349</v>
      </c>
      <c r="D7" s="15">
        <v>5183</v>
      </c>
      <c r="E7" s="15">
        <v>4725</v>
      </c>
      <c r="F7" s="15">
        <v>4382</v>
      </c>
      <c r="G7" s="15">
        <v>4263</v>
      </c>
      <c r="H7" s="15">
        <v>3932</v>
      </c>
      <c r="I7" s="15">
        <v>4177</v>
      </c>
      <c r="J7" s="15">
        <v>4461</v>
      </c>
      <c r="K7" s="15">
        <v>4426</v>
      </c>
      <c r="L7" s="15">
        <v>4526</v>
      </c>
      <c r="M7" s="15">
        <v>5710</v>
      </c>
      <c r="N7" s="15">
        <v>6914</v>
      </c>
    </row>
    <row r="8" spans="1:14" ht="22.5" customHeight="1" x14ac:dyDescent="0.25">
      <c r="A8" s="30"/>
      <c r="B8" s="32" t="s">
        <v>21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5"/>
    </row>
    <row r="9" spans="1:14" ht="22.5" customHeight="1" x14ac:dyDescent="0.25">
      <c r="A9" s="30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2.5" customHeight="1" x14ac:dyDescent="0.25">
      <c r="A10" s="31"/>
      <c r="B10" s="21" t="s">
        <v>18</v>
      </c>
      <c r="C10" s="16">
        <f t="shared" ref="C10:N10" si="0">SUM(C5:C7,C9)</f>
        <v>129568</v>
      </c>
      <c r="D10" s="16">
        <f t="shared" si="0"/>
        <v>90991</v>
      </c>
      <c r="E10" s="16">
        <f t="shared" si="0"/>
        <v>70462</v>
      </c>
      <c r="F10" s="16">
        <f t="shared" si="0"/>
        <v>62894</v>
      </c>
      <c r="G10" s="16">
        <f t="shared" si="0"/>
        <v>48977</v>
      </c>
      <c r="H10" s="16">
        <f t="shared" si="0"/>
        <v>39041</v>
      </c>
      <c r="I10" s="16">
        <f t="shared" si="0"/>
        <v>36748</v>
      </c>
      <c r="J10" s="16">
        <f t="shared" si="0"/>
        <v>39563</v>
      </c>
      <c r="K10" s="16">
        <f t="shared" si="0"/>
        <v>43357</v>
      </c>
      <c r="L10" s="16">
        <f t="shared" si="0"/>
        <v>57737</v>
      </c>
      <c r="M10" s="16">
        <f t="shared" si="0"/>
        <v>70640</v>
      </c>
      <c r="N10" s="16">
        <f t="shared" si="0"/>
        <v>118841</v>
      </c>
    </row>
    <row r="11" spans="1:14" ht="22.5" customHeight="1" x14ac:dyDescent="0.25">
      <c r="A11" s="29" t="s">
        <v>34</v>
      </c>
      <c r="B11" s="33" t="s">
        <v>20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</row>
    <row r="12" spans="1:14" ht="22.5" customHeight="1" x14ac:dyDescent="0.25">
      <c r="A12" s="30"/>
      <c r="B12" s="22" t="s">
        <v>19</v>
      </c>
      <c r="C12" s="15">
        <v>97148153</v>
      </c>
      <c r="D12" s="15">
        <f>9227710+78452336</f>
        <v>87680046</v>
      </c>
      <c r="E12" s="15">
        <f>83293057+9783507</f>
        <v>93076564</v>
      </c>
      <c r="F12" s="15">
        <v>87470339</v>
      </c>
      <c r="G12" s="15">
        <v>83342855</v>
      </c>
      <c r="H12" s="15">
        <v>80423902</v>
      </c>
      <c r="I12" s="15">
        <v>82804549</v>
      </c>
      <c r="J12" s="15">
        <v>79483462</v>
      </c>
      <c r="K12" s="15">
        <v>79615254</v>
      </c>
      <c r="L12" s="15">
        <v>88392774</v>
      </c>
      <c r="M12" s="15">
        <v>91763241</v>
      </c>
      <c r="N12" s="15">
        <v>94146078</v>
      </c>
    </row>
    <row r="13" spans="1:14" ht="22.5" customHeight="1" x14ac:dyDescent="0.25">
      <c r="A13" s="30"/>
      <c r="B13" s="22" t="s">
        <v>14</v>
      </c>
      <c r="C13" s="15">
        <v>17342949</v>
      </c>
      <c r="D13" s="15">
        <v>15418692.510248831</v>
      </c>
      <c r="E13" s="15">
        <v>16361698.545601118</v>
      </c>
      <c r="F13" s="15">
        <v>15303705</v>
      </c>
      <c r="G13" s="15">
        <v>14437676.680335358</v>
      </c>
      <c r="H13" s="15">
        <v>14622310.925350675</v>
      </c>
      <c r="I13" s="15">
        <v>14490868.985381845</v>
      </c>
      <c r="J13" s="15">
        <v>14255030.072177138</v>
      </c>
      <c r="K13" s="15">
        <v>13313115</v>
      </c>
      <c r="L13" s="15">
        <v>15144450</v>
      </c>
      <c r="M13" s="15">
        <v>16281079</v>
      </c>
      <c r="N13" s="15">
        <v>16424761</v>
      </c>
    </row>
    <row r="14" spans="1:14" ht="22.5" customHeight="1" x14ac:dyDescent="0.25">
      <c r="A14" s="30"/>
      <c r="B14" s="22" t="s">
        <v>15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ht="22.5" customHeight="1" x14ac:dyDescent="0.25">
      <c r="A15" s="30"/>
      <c r="B15" s="22" t="s">
        <v>16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ht="22.5" customHeight="1" x14ac:dyDescent="0.25">
      <c r="A16" s="30"/>
      <c r="B16" s="13" t="s">
        <v>17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22.5" customHeight="1" x14ac:dyDescent="0.25">
      <c r="A17" s="30"/>
      <c r="B17" s="24" t="s">
        <v>21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ht="22.5" customHeight="1" x14ac:dyDescent="0.25">
      <c r="A18" s="30"/>
      <c r="B18" s="13"/>
      <c r="C18" s="1"/>
      <c r="D18" s="1"/>
      <c r="E18" s="1"/>
      <c r="F18" s="1"/>
      <c r="G18" s="1"/>
      <c r="H18" s="1"/>
      <c r="I18" s="1"/>
      <c r="J18" s="15"/>
      <c r="K18" s="15"/>
      <c r="L18" s="15"/>
      <c r="M18" s="15"/>
      <c r="N18" s="15"/>
    </row>
    <row r="19" spans="1:14" ht="22.5" customHeight="1" x14ac:dyDescent="0.25">
      <c r="A19" s="31"/>
      <c r="B19" s="14" t="s">
        <v>18</v>
      </c>
      <c r="C19" s="8">
        <f>SUM(C12:C16,C18)</f>
        <v>114491102</v>
      </c>
      <c r="D19" s="8">
        <f t="shared" ref="D19:N19" si="1">SUM(D12:D16,D18)</f>
        <v>103098738.51024882</v>
      </c>
      <c r="E19" s="8">
        <f t="shared" si="1"/>
        <v>109438262.54560111</v>
      </c>
      <c r="F19" s="8">
        <f t="shared" si="1"/>
        <v>102774044</v>
      </c>
      <c r="G19" s="8">
        <f t="shared" si="1"/>
        <v>97780531.680335358</v>
      </c>
      <c r="H19" s="8">
        <f t="shared" si="1"/>
        <v>95046212.925350681</v>
      </c>
      <c r="I19" s="8">
        <f t="shared" si="1"/>
        <v>97295417.985381842</v>
      </c>
      <c r="J19" s="8">
        <f t="shared" si="1"/>
        <v>93738492.072177142</v>
      </c>
      <c r="K19" s="8">
        <f t="shared" si="1"/>
        <v>92928369</v>
      </c>
      <c r="L19" s="8">
        <f t="shared" si="1"/>
        <v>103537224</v>
      </c>
      <c r="M19" s="8">
        <f t="shared" si="1"/>
        <v>108044320</v>
      </c>
      <c r="N19" s="8">
        <f t="shared" si="1"/>
        <v>110570839</v>
      </c>
    </row>
    <row r="20" spans="1:14" ht="22.5" customHeight="1" x14ac:dyDescent="0.25">
      <c r="A20" s="26" t="s">
        <v>18</v>
      </c>
      <c r="B20" s="27"/>
      <c r="C20" s="8">
        <f>C10+C19</f>
        <v>114620670</v>
      </c>
      <c r="D20" s="8">
        <f t="shared" ref="D20:N20" si="2">D10+D19</f>
        <v>103189729.51024882</v>
      </c>
      <c r="E20" s="8">
        <f t="shared" si="2"/>
        <v>109508724.54560111</v>
      </c>
      <c r="F20" s="8">
        <f t="shared" si="2"/>
        <v>102836938</v>
      </c>
      <c r="G20" s="8">
        <f t="shared" si="2"/>
        <v>97829508.680335358</v>
      </c>
      <c r="H20" s="8">
        <f t="shared" si="2"/>
        <v>95085253.925350681</v>
      </c>
      <c r="I20" s="8">
        <f t="shared" si="2"/>
        <v>97332165.985381842</v>
      </c>
      <c r="J20" s="16">
        <f t="shared" si="2"/>
        <v>93778055.072177142</v>
      </c>
      <c r="K20" s="16">
        <f t="shared" si="2"/>
        <v>92971726</v>
      </c>
      <c r="L20" s="8">
        <f t="shared" si="2"/>
        <v>103594961</v>
      </c>
      <c r="M20" s="16">
        <f t="shared" si="2"/>
        <v>108114960</v>
      </c>
      <c r="N20" s="16">
        <f t="shared" si="2"/>
        <v>110689680</v>
      </c>
    </row>
    <row r="25" spans="1:14" ht="22.5" customHeight="1" x14ac:dyDescent="0.25">
      <c r="L25" s="17"/>
    </row>
  </sheetData>
  <mergeCells count="8">
    <mergeCell ref="A20:B20"/>
    <mergeCell ref="A2:N2"/>
    <mergeCell ref="A4:A10"/>
    <mergeCell ref="B4:N4"/>
    <mergeCell ref="B8:N8"/>
    <mergeCell ref="A11:A19"/>
    <mergeCell ref="B11:N11"/>
    <mergeCell ref="B17:N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tabSelected="1" topLeftCell="B1" workbookViewId="0">
      <selection activeCell="N19" sqref="N19"/>
    </sheetView>
  </sheetViews>
  <sheetFormatPr defaultColWidth="9.140625" defaultRowHeight="22.5" customHeight="1" x14ac:dyDescent="0.25"/>
  <cols>
    <col min="1" max="1" width="24.85546875" style="9" customWidth="1"/>
    <col min="2" max="2" width="14.85546875" style="9" customWidth="1"/>
    <col min="3" max="14" width="20.42578125" style="9" customWidth="1"/>
    <col min="15" max="16384" width="9.140625" style="9"/>
  </cols>
  <sheetData>
    <row r="2" spans="1:14" s="11" customFormat="1" ht="42.75" customHeight="1" x14ac:dyDescent="0.25">
      <c r="A2" s="28" t="s">
        <v>38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s="11" customFormat="1" ht="22.5" customHeight="1" x14ac:dyDescent="0.25">
      <c r="A4" s="29" t="s">
        <v>33</v>
      </c>
      <c r="B4" s="32" t="s">
        <v>20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30"/>
      <c r="B5" s="3" t="s">
        <v>15</v>
      </c>
      <c r="C5" s="15">
        <v>40741</v>
      </c>
      <c r="D5" s="15">
        <v>40549</v>
      </c>
      <c r="E5" s="15">
        <v>22448</v>
      </c>
      <c r="F5" s="15">
        <v>10368</v>
      </c>
      <c r="G5" s="15">
        <v>3232</v>
      </c>
      <c r="H5" s="15">
        <v>0</v>
      </c>
      <c r="I5" s="15">
        <v>0</v>
      </c>
      <c r="J5" s="15">
        <v>0</v>
      </c>
      <c r="K5" s="15">
        <v>0</v>
      </c>
      <c r="L5" s="15">
        <v>15127</v>
      </c>
      <c r="M5" s="15">
        <v>28251</v>
      </c>
      <c r="N5" s="15">
        <v>105631</v>
      </c>
    </row>
    <row r="6" spans="1:14" ht="22.5" customHeight="1" x14ac:dyDescent="0.25">
      <c r="A6" s="30"/>
      <c r="B6" s="3" t="s">
        <v>16</v>
      </c>
      <c r="C6" s="15">
        <v>46336</v>
      </c>
      <c r="D6" s="15">
        <v>56418</v>
      </c>
      <c r="E6" s="15">
        <v>55131</v>
      </c>
      <c r="F6" s="15">
        <v>54192</v>
      </c>
      <c r="G6" s="15">
        <v>42843</v>
      </c>
      <c r="H6" s="15">
        <v>35330</v>
      </c>
      <c r="I6" s="15">
        <v>36134</v>
      </c>
      <c r="J6" s="15">
        <v>34531</v>
      </c>
      <c r="K6" s="15">
        <v>45652</v>
      </c>
      <c r="L6" s="15">
        <v>50901</v>
      </c>
      <c r="M6" s="15">
        <v>53929</v>
      </c>
      <c r="N6" s="15">
        <v>91833</v>
      </c>
    </row>
    <row r="7" spans="1:14" ht="22.5" customHeight="1" x14ac:dyDescent="0.25">
      <c r="A7" s="30"/>
      <c r="B7" s="3" t="s">
        <v>17</v>
      </c>
      <c r="C7" s="15">
        <v>6651</v>
      </c>
      <c r="D7" s="15">
        <v>6087</v>
      </c>
      <c r="E7" s="15">
        <v>4658</v>
      </c>
      <c r="F7" s="15">
        <v>4113</v>
      </c>
      <c r="G7" s="15">
        <v>4241</v>
      </c>
      <c r="H7" s="15">
        <v>4477</v>
      </c>
      <c r="I7" s="15">
        <v>5509</v>
      </c>
      <c r="J7" s="15">
        <v>5203</v>
      </c>
      <c r="K7" s="15">
        <v>5315</v>
      </c>
      <c r="L7" s="15">
        <v>4513</v>
      </c>
      <c r="M7" s="15">
        <v>4027</v>
      </c>
      <c r="N7" s="15">
        <v>5148</v>
      </c>
    </row>
    <row r="8" spans="1:14" ht="22.5" customHeight="1" x14ac:dyDescent="0.25">
      <c r="A8" s="30"/>
      <c r="B8" s="32" t="s">
        <v>21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5"/>
    </row>
    <row r="9" spans="1:14" ht="22.5" customHeight="1" x14ac:dyDescent="0.25">
      <c r="A9" s="30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2.5" customHeight="1" x14ac:dyDescent="0.25">
      <c r="A10" s="31"/>
      <c r="B10" s="21" t="s">
        <v>18</v>
      </c>
      <c r="C10" s="16">
        <f t="shared" ref="C10:N10" si="0">SUM(C5:C7,C9)</f>
        <v>93728</v>
      </c>
      <c r="D10" s="16">
        <f t="shared" si="0"/>
        <v>103054</v>
      </c>
      <c r="E10" s="16">
        <f t="shared" si="0"/>
        <v>82237</v>
      </c>
      <c r="F10" s="16">
        <f t="shared" si="0"/>
        <v>68673</v>
      </c>
      <c r="G10" s="16">
        <f t="shared" si="0"/>
        <v>50316</v>
      </c>
      <c r="H10" s="16">
        <f t="shared" si="0"/>
        <v>39807</v>
      </c>
      <c r="I10" s="16">
        <f t="shared" si="0"/>
        <v>41643</v>
      </c>
      <c r="J10" s="16">
        <f t="shared" si="0"/>
        <v>39734</v>
      </c>
      <c r="K10" s="16">
        <f t="shared" si="0"/>
        <v>50967</v>
      </c>
      <c r="L10" s="16">
        <f t="shared" si="0"/>
        <v>70541</v>
      </c>
      <c r="M10" s="16">
        <f t="shared" si="0"/>
        <v>86207</v>
      </c>
      <c r="N10" s="16">
        <f t="shared" si="0"/>
        <v>202612</v>
      </c>
    </row>
    <row r="11" spans="1:14" ht="22.5" customHeight="1" x14ac:dyDescent="0.25">
      <c r="A11" s="29" t="s">
        <v>34</v>
      </c>
      <c r="B11" s="33" t="s">
        <v>20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</row>
    <row r="12" spans="1:14" ht="22.5" customHeight="1" x14ac:dyDescent="0.25">
      <c r="A12" s="30"/>
      <c r="B12" s="22" t="s">
        <v>19</v>
      </c>
      <c r="C12" s="15">
        <v>98504486</v>
      </c>
      <c r="D12" s="15">
        <v>93513632</v>
      </c>
      <c r="E12" s="15">
        <v>92661880</v>
      </c>
      <c r="F12" s="15">
        <f>86781517+239073</f>
        <v>87020590</v>
      </c>
      <c r="G12" s="15">
        <f>85043425+42342+132433</f>
        <v>85218200</v>
      </c>
      <c r="H12" s="15">
        <f>78290242+121091</f>
        <v>78411333</v>
      </c>
      <c r="I12" s="15">
        <f>76916329+118757</f>
        <v>77035086</v>
      </c>
      <c r="J12" s="15">
        <f>80428398+139274</f>
        <v>80567672</v>
      </c>
      <c r="K12" s="15">
        <f>77460122+195775</f>
        <v>77655897</v>
      </c>
      <c r="L12" s="15">
        <f>49332+86215897+390660</f>
        <v>86655889</v>
      </c>
      <c r="M12" s="15">
        <f>540867+38962+92784851</f>
        <v>93364680</v>
      </c>
      <c r="N12" s="15">
        <f>68608+96882918+466083</f>
        <v>97417609</v>
      </c>
    </row>
    <row r="13" spans="1:14" ht="22.5" customHeight="1" x14ac:dyDescent="0.25">
      <c r="A13" s="30"/>
      <c r="B13" s="22" t="s">
        <v>14</v>
      </c>
      <c r="C13" s="15">
        <v>16827144</v>
      </c>
      <c r="D13" s="15">
        <v>16255468</v>
      </c>
      <c r="E13" s="15">
        <v>16716381</v>
      </c>
      <c r="F13" s="15">
        <f>16262643+4100</f>
        <v>16266743</v>
      </c>
      <c r="G13" s="15">
        <f>15780472+602540+3582</f>
        <v>16386594</v>
      </c>
      <c r="H13" s="15">
        <f>15348554+1940</f>
        <v>15350494</v>
      </c>
      <c r="I13" s="15">
        <f>15558451+573</f>
        <v>15559024</v>
      </c>
      <c r="J13" s="15">
        <f>15702623+943</f>
        <v>15703566</v>
      </c>
      <c r="K13" s="15">
        <f>15100486+2150</f>
        <v>15102636</v>
      </c>
      <c r="L13" s="15">
        <f>15852082+1093990+2705</f>
        <v>16948777</v>
      </c>
      <c r="M13" s="15">
        <f>16749500+1367275+3249</f>
        <v>18120024</v>
      </c>
      <c r="N13" s="15">
        <f>17927488+1499919+3871</f>
        <v>19431278</v>
      </c>
    </row>
    <row r="14" spans="1:14" ht="22.5" customHeight="1" x14ac:dyDescent="0.25">
      <c r="A14" s="30"/>
      <c r="B14" s="22" t="s">
        <v>15</v>
      </c>
      <c r="C14" s="15"/>
      <c r="D14" s="15"/>
      <c r="E14" s="15"/>
      <c r="F14" s="15">
        <v>52786</v>
      </c>
      <c r="G14" s="15">
        <v>51635</v>
      </c>
      <c r="H14" s="15">
        <v>69460</v>
      </c>
      <c r="I14" s="15">
        <f>143214</f>
        <v>143214</v>
      </c>
      <c r="J14" s="15">
        <f>45207</f>
        <v>45207</v>
      </c>
      <c r="K14" s="15">
        <v>29792</v>
      </c>
      <c r="L14" s="15">
        <v>14457</v>
      </c>
      <c r="M14" s="15">
        <v>33862</v>
      </c>
      <c r="N14" s="15">
        <v>29942</v>
      </c>
    </row>
    <row r="15" spans="1:14" ht="22.5" customHeight="1" x14ac:dyDescent="0.25">
      <c r="A15" s="30"/>
      <c r="B15" s="22" t="s">
        <v>16</v>
      </c>
      <c r="C15" s="15"/>
      <c r="D15" s="15"/>
      <c r="E15" s="15"/>
      <c r="F15" s="15">
        <f>8210+259511</f>
        <v>267721</v>
      </c>
      <c r="G15" s="15">
        <f>7265+164286</f>
        <v>171551</v>
      </c>
      <c r="H15" s="15">
        <f>6989+154095</f>
        <v>161084</v>
      </c>
      <c r="I15" s="15">
        <f>5975+143648</f>
        <v>149623</v>
      </c>
      <c r="J15" s="15">
        <f>6227+144784</f>
        <v>151011</v>
      </c>
      <c r="K15" s="15">
        <f>6940+138612</f>
        <v>145552</v>
      </c>
      <c r="L15" s="15">
        <f>10015+199709</f>
        <v>209724</v>
      </c>
      <c r="M15" s="15">
        <f>261228+17520</f>
        <v>278748</v>
      </c>
      <c r="N15" s="15">
        <f>22105+348081</f>
        <v>370186</v>
      </c>
    </row>
    <row r="16" spans="1:14" ht="22.5" customHeight="1" x14ac:dyDescent="0.25">
      <c r="A16" s="30"/>
      <c r="B16" s="13" t="s">
        <v>17</v>
      </c>
      <c r="C16" s="15"/>
      <c r="D16" s="15"/>
      <c r="E16" s="15"/>
      <c r="F16" s="15">
        <v>154514</v>
      </c>
      <c r="G16" s="15">
        <v>149403</v>
      </c>
      <c r="H16" s="15">
        <v>118850</v>
      </c>
      <c r="I16" s="15">
        <v>105888</v>
      </c>
      <c r="J16" s="15">
        <v>94272</v>
      </c>
      <c r="K16" s="15">
        <v>147036</v>
      </c>
      <c r="L16" s="15">
        <v>181464</v>
      </c>
      <c r="M16" s="15">
        <v>208662</v>
      </c>
      <c r="N16" s="15">
        <v>232586</v>
      </c>
    </row>
    <row r="17" spans="1:14" ht="22.5" customHeight="1" x14ac:dyDescent="0.25">
      <c r="A17" s="30"/>
      <c r="B17" s="24" t="s">
        <v>21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ht="22.5" customHeight="1" x14ac:dyDescent="0.25">
      <c r="A18" s="30"/>
      <c r="B18" s="13"/>
      <c r="C18" s="1"/>
      <c r="D18" s="1"/>
      <c r="E18" s="1"/>
      <c r="F18" s="1">
        <v>55480</v>
      </c>
      <c r="G18" s="15">
        <v>45070</v>
      </c>
      <c r="H18" s="1">
        <v>41588</v>
      </c>
      <c r="I18" s="1">
        <v>40772</v>
      </c>
      <c r="J18" s="15">
        <v>42981</v>
      </c>
      <c r="K18" s="15">
        <v>50914</v>
      </c>
      <c r="L18" s="15">
        <v>56962</v>
      </c>
      <c r="M18" s="15">
        <v>50761</v>
      </c>
      <c r="N18" s="15">
        <v>60242</v>
      </c>
    </row>
    <row r="19" spans="1:14" ht="22.5" customHeight="1" x14ac:dyDescent="0.25">
      <c r="A19" s="31"/>
      <c r="B19" s="14" t="s">
        <v>18</v>
      </c>
      <c r="C19" s="8">
        <f>SUM(C12:C16,C18)</f>
        <v>115331630</v>
      </c>
      <c r="D19" s="8">
        <f t="shared" ref="D19:N19" si="1">SUM(D12:D16,D18)</f>
        <v>109769100</v>
      </c>
      <c r="E19" s="8">
        <f t="shared" si="1"/>
        <v>109378261</v>
      </c>
      <c r="F19" s="8">
        <f t="shared" si="1"/>
        <v>103817834</v>
      </c>
      <c r="G19" s="8">
        <f t="shared" si="1"/>
        <v>102022453</v>
      </c>
      <c r="H19" s="8">
        <f t="shared" si="1"/>
        <v>94152809</v>
      </c>
      <c r="I19" s="8">
        <f t="shared" si="1"/>
        <v>93033607</v>
      </c>
      <c r="J19" s="8">
        <f t="shared" si="1"/>
        <v>96604709</v>
      </c>
      <c r="K19" s="8">
        <f t="shared" si="1"/>
        <v>93131827</v>
      </c>
      <c r="L19" s="8">
        <f t="shared" si="1"/>
        <v>104067273</v>
      </c>
      <c r="M19" s="8">
        <f t="shared" si="1"/>
        <v>112056737</v>
      </c>
      <c r="N19" s="8">
        <f t="shared" si="1"/>
        <v>117541843</v>
      </c>
    </row>
    <row r="20" spans="1:14" ht="22.5" customHeight="1" x14ac:dyDescent="0.25">
      <c r="A20" s="26" t="s">
        <v>18</v>
      </c>
      <c r="B20" s="27"/>
      <c r="C20" s="8">
        <f>C10+C19</f>
        <v>115425358</v>
      </c>
      <c r="D20" s="8">
        <f t="shared" ref="D20:N20" si="2">D10+D19</f>
        <v>109872154</v>
      </c>
      <c r="E20" s="8">
        <f t="shared" si="2"/>
        <v>109460498</v>
      </c>
      <c r="F20" s="8">
        <f t="shared" si="2"/>
        <v>103886507</v>
      </c>
      <c r="G20" s="8">
        <f t="shared" si="2"/>
        <v>102072769</v>
      </c>
      <c r="H20" s="8">
        <f t="shared" si="2"/>
        <v>94192616</v>
      </c>
      <c r="I20" s="8">
        <f t="shared" si="2"/>
        <v>93075250</v>
      </c>
      <c r="J20" s="16">
        <f t="shared" si="2"/>
        <v>96644443</v>
      </c>
      <c r="K20" s="16">
        <f t="shared" si="2"/>
        <v>93182794</v>
      </c>
      <c r="L20" s="8">
        <f t="shared" si="2"/>
        <v>104137814</v>
      </c>
      <c r="M20" s="16">
        <f t="shared" si="2"/>
        <v>112142944</v>
      </c>
      <c r="N20" s="16">
        <f t="shared" si="2"/>
        <v>117744455</v>
      </c>
    </row>
    <row r="25" spans="1:14" ht="22.5" customHeight="1" x14ac:dyDescent="0.25">
      <c r="L25" s="17"/>
    </row>
  </sheetData>
  <mergeCells count="8">
    <mergeCell ref="A20:B20"/>
    <mergeCell ref="A2:N2"/>
    <mergeCell ref="A4:A10"/>
    <mergeCell ref="B4:N4"/>
    <mergeCell ref="B8:N8"/>
    <mergeCell ref="A11:A19"/>
    <mergeCell ref="B11:N11"/>
    <mergeCell ref="B17:N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workbookViewId="0">
      <selection activeCell="D13" sqref="D13"/>
    </sheetView>
  </sheetViews>
  <sheetFormatPr defaultColWidth="9.140625" defaultRowHeight="22.5" customHeight="1" x14ac:dyDescent="0.25"/>
  <cols>
    <col min="1" max="1" width="33.140625" style="9" customWidth="1"/>
    <col min="2" max="2" width="14.85546875" style="9" customWidth="1"/>
    <col min="3" max="3" width="16" style="9" customWidth="1"/>
    <col min="4" max="4" width="16.7109375" style="9" customWidth="1"/>
    <col min="5" max="5" width="16.42578125" style="9" customWidth="1"/>
    <col min="6" max="6" width="15.85546875" style="9" customWidth="1"/>
    <col min="7" max="7" width="17.85546875" style="9" customWidth="1"/>
    <col min="8" max="8" width="18.42578125" style="9" customWidth="1"/>
    <col min="9" max="9" width="19.85546875" style="9" customWidth="1"/>
    <col min="10" max="10" width="21" style="9" customWidth="1"/>
    <col min="11" max="11" width="22.140625" style="9" customWidth="1"/>
    <col min="12" max="12" width="22.42578125" style="9" customWidth="1"/>
    <col min="13" max="13" width="24.28515625" style="9" customWidth="1"/>
    <col min="14" max="14" width="24.140625" style="9" customWidth="1"/>
    <col min="15" max="16384" width="9.140625" style="9"/>
  </cols>
  <sheetData>
    <row r="2" spans="1:14" s="11" customFormat="1" ht="42.75" customHeight="1" x14ac:dyDescent="0.25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s="11" customFormat="1" ht="22.5" customHeight="1" x14ac:dyDescent="0.25">
      <c r="A4" s="29" t="s">
        <v>26</v>
      </c>
      <c r="B4" s="32" t="s">
        <v>20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30"/>
      <c r="B5" s="3" t="s">
        <v>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22.5" customHeight="1" x14ac:dyDescent="0.25">
      <c r="A6" s="30"/>
      <c r="B6" s="3" t="s">
        <v>15</v>
      </c>
      <c r="C6" s="1">
        <v>22273</v>
      </c>
      <c r="D6" s="1">
        <v>11000</v>
      </c>
      <c r="E6" s="1">
        <v>8250</v>
      </c>
      <c r="F6" s="1">
        <v>8250</v>
      </c>
      <c r="G6" s="1">
        <v>5773</v>
      </c>
      <c r="H6" s="1">
        <v>2750</v>
      </c>
      <c r="I6" s="1"/>
      <c r="J6" s="1"/>
      <c r="K6" s="1"/>
      <c r="L6" s="1">
        <v>8250</v>
      </c>
      <c r="M6" s="1">
        <v>11000</v>
      </c>
      <c r="N6" s="1">
        <v>13887</v>
      </c>
    </row>
    <row r="7" spans="1:14" ht="22.5" customHeight="1" x14ac:dyDescent="0.25">
      <c r="A7" s="30"/>
      <c r="B7" s="3" t="s">
        <v>16</v>
      </c>
      <c r="C7" s="1">
        <v>792673</v>
      </c>
      <c r="D7" s="1">
        <v>897625</v>
      </c>
      <c r="E7" s="1">
        <v>745256</v>
      </c>
      <c r="F7" s="1">
        <v>368853</v>
      </c>
      <c r="G7" s="1">
        <v>250470</v>
      </c>
      <c r="H7" s="1">
        <v>211680</v>
      </c>
      <c r="I7" s="1">
        <v>200049</v>
      </c>
      <c r="J7" s="1">
        <v>220639</v>
      </c>
      <c r="K7" s="1">
        <v>234459</v>
      </c>
      <c r="L7" s="1">
        <v>236849</v>
      </c>
      <c r="M7" s="1">
        <v>603436</v>
      </c>
      <c r="N7" s="1">
        <v>701985</v>
      </c>
    </row>
    <row r="8" spans="1:14" ht="22.5" customHeight="1" x14ac:dyDescent="0.25">
      <c r="A8" s="30"/>
      <c r="B8" s="3" t="s">
        <v>17</v>
      </c>
      <c r="C8" s="1">
        <v>22857</v>
      </c>
      <c r="D8" s="1">
        <v>23365</v>
      </c>
      <c r="E8" s="1">
        <v>20012</v>
      </c>
      <c r="F8" s="1">
        <v>14224</v>
      </c>
      <c r="G8" s="1">
        <v>14151</v>
      </c>
      <c r="H8" s="1">
        <v>13548</v>
      </c>
      <c r="I8" s="1">
        <v>11672</v>
      </c>
      <c r="J8" s="1">
        <v>11109</v>
      </c>
      <c r="K8" s="1">
        <v>12525</v>
      </c>
      <c r="L8" s="1">
        <v>13469</v>
      </c>
      <c r="M8" s="1">
        <v>15131</v>
      </c>
      <c r="N8" s="1">
        <v>17182</v>
      </c>
    </row>
    <row r="9" spans="1:14" ht="22.5" customHeight="1" x14ac:dyDescent="0.25">
      <c r="A9" s="30"/>
      <c r="B9" s="32" t="s">
        <v>21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5"/>
    </row>
    <row r="10" spans="1:14" ht="22.5" customHeight="1" x14ac:dyDescent="0.25">
      <c r="A10" s="30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2.5" customHeight="1" x14ac:dyDescent="0.25">
      <c r="A11" s="31"/>
      <c r="B11" s="4" t="s">
        <v>18</v>
      </c>
      <c r="C11" s="1">
        <f t="shared" ref="C11:N11" si="0">SUM(C5:C8,C10)</f>
        <v>837803</v>
      </c>
      <c r="D11" s="1">
        <f t="shared" si="0"/>
        <v>931990</v>
      </c>
      <c r="E11" s="1">
        <f t="shared" si="0"/>
        <v>773518</v>
      </c>
      <c r="F11" s="1">
        <f t="shared" si="0"/>
        <v>391327</v>
      </c>
      <c r="G11" s="1">
        <f t="shared" si="0"/>
        <v>270394</v>
      </c>
      <c r="H11" s="1">
        <f t="shared" si="0"/>
        <v>227978</v>
      </c>
      <c r="I11" s="1">
        <f t="shared" si="0"/>
        <v>211721</v>
      </c>
      <c r="J11" s="1">
        <f t="shared" si="0"/>
        <v>231748</v>
      </c>
      <c r="K11" s="1">
        <f t="shared" si="0"/>
        <v>246984</v>
      </c>
      <c r="L11" s="1">
        <f t="shared" si="0"/>
        <v>258568</v>
      </c>
      <c r="M11" s="1">
        <f t="shared" si="0"/>
        <v>629567</v>
      </c>
      <c r="N11" s="1">
        <f t="shared" si="0"/>
        <v>733054</v>
      </c>
    </row>
    <row r="12" spans="1:14" ht="22.5" customHeight="1" x14ac:dyDescent="0.25">
      <c r="A12" s="29" t="s">
        <v>22</v>
      </c>
      <c r="B12" s="32" t="s">
        <v>20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</row>
    <row r="13" spans="1:14" ht="22.5" customHeight="1" x14ac:dyDescent="0.25">
      <c r="A13" s="30"/>
      <c r="B13" s="13" t="s">
        <v>19</v>
      </c>
      <c r="C13" s="1">
        <v>79195136</v>
      </c>
      <c r="D13" s="1">
        <v>72538337</v>
      </c>
      <c r="E13" s="1">
        <v>76264846</v>
      </c>
      <c r="F13" s="1">
        <v>67709929</v>
      </c>
      <c r="G13" s="1">
        <v>70897839</v>
      </c>
      <c r="H13" s="1">
        <v>64708347</v>
      </c>
      <c r="I13" s="1">
        <v>63203553</v>
      </c>
      <c r="J13" s="1">
        <v>61252743</v>
      </c>
      <c r="K13" s="1">
        <v>63657732.070849344</v>
      </c>
      <c r="L13" s="1">
        <v>67394251.681177974</v>
      </c>
      <c r="M13" s="1">
        <v>72303537</v>
      </c>
      <c r="N13" s="1">
        <v>76072068</v>
      </c>
    </row>
    <row r="14" spans="1:14" ht="30.75" customHeight="1" x14ac:dyDescent="0.25">
      <c r="A14" s="30"/>
      <c r="B14" s="13" t="s">
        <v>14</v>
      </c>
      <c r="C14" s="1">
        <v>24885817</v>
      </c>
      <c r="D14" s="1">
        <v>23928528</v>
      </c>
      <c r="E14" s="1">
        <v>25213409</v>
      </c>
      <c r="F14" s="1">
        <v>22418340</v>
      </c>
      <c r="G14" s="1">
        <v>23125084</v>
      </c>
      <c r="H14" s="1">
        <v>21000872</v>
      </c>
      <c r="I14" s="1">
        <v>21300532</v>
      </c>
      <c r="J14" s="1">
        <v>20708978</v>
      </c>
      <c r="K14" s="1">
        <v>20526936.558301341</v>
      </c>
      <c r="L14" s="1">
        <v>21897599.31818182</v>
      </c>
      <c r="M14" s="1">
        <v>23289863</v>
      </c>
      <c r="N14" s="1">
        <v>24783763</v>
      </c>
    </row>
    <row r="15" spans="1:14" ht="22.5" customHeight="1" x14ac:dyDescent="0.25">
      <c r="A15" s="30"/>
      <c r="B15" s="13" t="s">
        <v>15</v>
      </c>
      <c r="C15" s="1">
        <v>29362</v>
      </c>
      <c r="D15" s="1">
        <v>25481</v>
      </c>
      <c r="E15" s="1">
        <v>12479</v>
      </c>
      <c r="F15" s="1">
        <v>119453</v>
      </c>
      <c r="G15" s="1">
        <v>148542</v>
      </c>
      <c r="H15" s="1">
        <v>139673</v>
      </c>
      <c r="I15" s="1">
        <v>147358</v>
      </c>
      <c r="J15" s="1">
        <v>138823</v>
      </c>
      <c r="K15" s="1">
        <v>153526</v>
      </c>
      <c r="L15" s="1">
        <v>213890</v>
      </c>
      <c r="M15" s="1">
        <v>290094</v>
      </c>
      <c r="N15" s="1">
        <v>313675</v>
      </c>
    </row>
    <row r="16" spans="1:14" ht="22.5" customHeight="1" x14ac:dyDescent="0.25">
      <c r="A16" s="30"/>
      <c r="B16" s="13" t="s">
        <v>16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2.5" customHeight="1" x14ac:dyDescent="0.25">
      <c r="A17" s="30"/>
      <c r="B17" s="13" t="s">
        <v>17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22.5" customHeight="1" x14ac:dyDescent="0.25">
      <c r="A18" s="30"/>
      <c r="B18" s="24" t="s">
        <v>21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22.5" customHeight="1" x14ac:dyDescent="0.25">
      <c r="A19" s="30"/>
      <c r="B19" s="1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2.5" customHeight="1" x14ac:dyDescent="0.25">
      <c r="A20" s="31"/>
      <c r="B20" s="14" t="s">
        <v>18</v>
      </c>
      <c r="C20" s="1">
        <f>SUM(C13:C17,C19)</f>
        <v>104110315</v>
      </c>
      <c r="D20" s="1">
        <f t="shared" ref="D20:N20" si="1">SUM(D13:D17,D19)</f>
        <v>96492346</v>
      </c>
      <c r="E20" s="1">
        <f t="shared" si="1"/>
        <v>101490734</v>
      </c>
      <c r="F20" s="1">
        <f t="shared" si="1"/>
        <v>90247722</v>
      </c>
      <c r="G20" s="1">
        <f t="shared" si="1"/>
        <v>94171465</v>
      </c>
      <c r="H20" s="1">
        <f t="shared" si="1"/>
        <v>85848892</v>
      </c>
      <c r="I20" s="1">
        <f t="shared" si="1"/>
        <v>84651443</v>
      </c>
      <c r="J20" s="1">
        <f t="shared" si="1"/>
        <v>82100544</v>
      </c>
      <c r="K20" s="1">
        <f t="shared" si="1"/>
        <v>84338194.629150689</v>
      </c>
      <c r="L20" s="1">
        <f t="shared" si="1"/>
        <v>89505740.999359787</v>
      </c>
      <c r="M20" s="1">
        <f t="shared" si="1"/>
        <v>95883494</v>
      </c>
      <c r="N20" s="1">
        <f t="shared" si="1"/>
        <v>101169506</v>
      </c>
    </row>
    <row r="21" spans="1:14" ht="22.5" customHeight="1" x14ac:dyDescent="0.25">
      <c r="A21" s="26" t="s">
        <v>18</v>
      </c>
      <c r="B21" s="27"/>
      <c r="C21" s="8">
        <f>C11+C20</f>
        <v>104948118</v>
      </c>
      <c r="D21" s="8">
        <f t="shared" ref="D21:N21" si="2">D11+D20</f>
        <v>97424336</v>
      </c>
      <c r="E21" s="8">
        <f t="shared" si="2"/>
        <v>102264252</v>
      </c>
      <c r="F21" s="8">
        <f t="shared" si="2"/>
        <v>90639049</v>
      </c>
      <c r="G21" s="8">
        <f t="shared" si="2"/>
        <v>94441859</v>
      </c>
      <c r="H21" s="8">
        <f t="shared" si="2"/>
        <v>86076870</v>
      </c>
      <c r="I21" s="8">
        <f t="shared" si="2"/>
        <v>84863164</v>
      </c>
      <c r="J21" s="8">
        <f t="shared" si="2"/>
        <v>82332292</v>
      </c>
      <c r="K21" s="8">
        <f t="shared" si="2"/>
        <v>84585178.629150689</v>
      </c>
      <c r="L21" s="8">
        <f t="shared" si="2"/>
        <v>89764308.999359787</v>
      </c>
      <c r="M21" s="8">
        <f t="shared" si="2"/>
        <v>96513061</v>
      </c>
      <c r="N21" s="8">
        <f t="shared" si="2"/>
        <v>101902560</v>
      </c>
    </row>
  </sheetData>
  <mergeCells count="8">
    <mergeCell ref="A21:B21"/>
    <mergeCell ref="A2:N2"/>
    <mergeCell ref="B4:N4"/>
    <mergeCell ref="A4:A11"/>
    <mergeCell ref="B9:N9"/>
    <mergeCell ref="B18:N18"/>
    <mergeCell ref="B12:N12"/>
    <mergeCell ref="A12:A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workbookViewId="0">
      <selection activeCell="H22" sqref="A12:N22"/>
    </sheetView>
  </sheetViews>
  <sheetFormatPr defaultColWidth="9.140625" defaultRowHeight="22.5" customHeight="1" x14ac:dyDescent="0.25"/>
  <cols>
    <col min="1" max="1" width="24.85546875" style="9" customWidth="1"/>
    <col min="2" max="2" width="14.85546875" style="9" customWidth="1"/>
    <col min="3" max="3" width="16" style="9" customWidth="1"/>
    <col min="4" max="4" width="16.7109375" style="9" customWidth="1"/>
    <col min="5" max="5" width="16.42578125" style="9" customWidth="1"/>
    <col min="6" max="6" width="15.85546875" style="9" customWidth="1"/>
    <col min="7" max="7" width="17.85546875" style="9" customWidth="1"/>
    <col min="8" max="8" width="18.42578125" style="9" customWidth="1"/>
    <col min="9" max="9" width="19.85546875" style="9" customWidth="1"/>
    <col min="10" max="10" width="21" style="9" customWidth="1"/>
    <col min="11" max="12" width="22.140625" style="9" customWidth="1"/>
    <col min="13" max="14" width="24.28515625" style="9" customWidth="1"/>
    <col min="15" max="16384" width="9.140625" style="9"/>
  </cols>
  <sheetData>
    <row r="2" spans="1:14" s="11" customFormat="1" ht="42.75" customHeight="1" x14ac:dyDescent="0.25">
      <c r="A2" s="28" t="s">
        <v>25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s="11" customFormat="1" ht="22.5" customHeight="1" x14ac:dyDescent="0.25">
      <c r="A4" s="29" t="s">
        <v>26</v>
      </c>
      <c r="B4" s="32" t="s">
        <v>20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30"/>
      <c r="B5" s="3" t="s">
        <v>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22.5" customHeight="1" x14ac:dyDescent="0.25">
      <c r="A6" s="30"/>
      <c r="B6" s="3" t="s">
        <v>15</v>
      </c>
      <c r="C6" s="1">
        <v>41478</v>
      </c>
      <c r="D6" s="1">
        <v>24841</v>
      </c>
      <c r="E6" s="1">
        <v>8341</v>
      </c>
      <c r="F6" s="1">
        <v>46</v>
      </c>
      <c r="G6" s="1">
        <v>2750</v>
      </c>
      <c r="H6" s="1"/>
      <c r="I6" s="1"/>
      <c r="J6" s="1"/>
      <c r="K6" s="1">
        <v>2750</v>
      </c>
      <c r="L6" s="1">
        <v>8341</v>
      </c>
      <c r="M6" s="15">
        <v>19341</v>
      </c>
      <c r="N6" s="15">
        <v>27500</v>
      </c>
    </row>
    <row r="7" spans="1:14" ht="22.5" customHeight="1" x14ac:dyDescent="0.25">
      <c r="A7" s="30"/>
      <c r="B7" s="3" t="s">
        <v>16</v>
      </c>
      <c r="C7" s="1">
        <v>941552</v>
      </c>
      <c r="D7" s="1">
        <v>807203</v>
      </c>
      <c r="E7" s="1">
        <v>619238.52</v>
      </c>
      <c r="F7" s="1">
        <v>400227</v>
      </c>
      <c r="G7" s="1">
        <v>192278</v>
      </c>
      <c r="H7" s="1">
        <v>115735</v>
      </c>
      <c r="I7" s="1">
        <v>235771</v>
      </c>
      <c r="J7" s="1">
        <v>128228</v>
      </c>
      <c r="K7" s="1">
        <v>139018</v>
      </c>
      <c r="L7" s="1">
        <v>318778</v>
      </c>
      <c r="M7" s="15">
        <v>579402</v>
      </c>
      <c r="N7" s="15">
        <v>640613</v>
      </c>
    </row>
    <row r="8" spans="1:14" ht="22.5" customHeight="1" x14ac:dyDescent="0.25">
      <c r="A8" s="30"/>
      <c r="B8" s="3" t="s">
        <v>17</v>
      </c>
      <c r="C8" s="1">
        <v>17371</v>
      </c>
      <c r="D8" s="1">
        <v>15491</v>
      </c>
      <c r="E8" s="1">
        <v>13638</v>
      </c>
      <c r="F8" s="1">
        <v>11439</v>
      </c>
      <c r="G8" s="1">
        <v>9766</v>
      </c>
      <c r="H8" s="1">
        <v>9697</v>
      </c>
      <c r="I8" s="1">
        <v>9121</v>
      </c>
      <c r="J8" s="1">
        <v>8401</v>
      </c>
      <c r="K8" s="1">
        <v>9260</v>
      </c>
      <c r="L8" s="1">
        <v>11547</v>
      </c>
      <c r="M8" s="15">
        <v>12040</v>
      </c>
      <c r="N8" s="15">
        <v>13370</v>
      </c>
    </row>
    <row r="9" spans="1:14" ht="22.5" customHeight="1" x14ac:dyDescent="0.25">
      <c r="A9" s="30"/>
      <c r="B9" s="32" t="s">
        <v>21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5"/>
    </row>
    <row r="10" spans="1:14" ht="22.5" customHeight="1" x14ac:dyDescent="0.25">
      <c r="A10" s="30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2.5" customHeight="1" x14ac:dyDescent="0.25">
      <c r="A11" s="31"/>
      <c r="B11" s="4" t="s">
        <v>18</v>
      </c>
      <c r="C11" s="1">
        <f t="shared" ref="C11:M11" si="0">SUM(C5:C8,C10)</f>
        <v>1000401</v>
      </c>
      <c r="D11" s="1">
        <f t="shared" si="0"/>
        <v>847535</v>
      </c>
      <c r="E11" s="1">
        <f t="shared" si="0"/>
        <v>641217.52</v>
      </c>
      <c r="F11" s="1">
        <f t="shared" si="0"/>
        <v>411712</v>
      </c>
      <c r="G11" s="1">
        <f t="shared" si="0"/>
        <v>204794</v>
      </c>
      <c r="H11" s="1">
        <f t="shared" si="0"/>
        <v>125432</v>
      </c>
      <c r="I11" s="1">
        <f t="shared" si="0"/>
        <v>244892</v>
      </c>
      <c r="J11" s="1">
        <f t="shared" si="0"/>
        <v>136629</v>
      </c>
      <c r="K11" s="1">
        <f t="shared" si="0"/>
        <v>151028</v>
      </c>
      <c r="L11" s="1">
        <f t="shared" ref="L11" si="1">SUM(L5:L8,L10)</f>
        <v>338666</v>
      </c>
      <c r="M11" s="15">
        <f t="shared" si="0"/>
        <v>610783</v>
      </c>
      <c r="N11" s="15">
        <f t="shared" ref="N11" si="2">SUM(N5:N8,N10)</f>
        <v>681483</v>
      </c>
    </row>
    <row r="12" spans="1:14" ht="22.5" customHeight="1" x14ac:dyDescent="0.25">
      <c r="A12" s="29" t="s">
        <v>22</v>
      </c>
      <c r="B12" s="32" t="s">
        <v>20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</row>
    <row r="13" spans="1:14" ht="22.5" customHeight="1" x14ac:dyDescent="0.25">
      <c r="A13" s="30"/>
      <c r="B13" s="13" t="s">
        <v>19</v>
      </c>
      <c r="C13" s="1">
        <v>75722018</v>
      </c>
      <c r="D13" s="1">
        <v>68891385</v>
      </c>
      <c r="E13" s="1">
        <v>73723431</v>
      </c>
      <c r="F13" s="1">
        <v>65920667</v>
      </c>
      <c r="G13" s="1">
        <v>65506276</v>
      </c>
      <c r="H13" s="1">
        <v>62890220</v>
      </c>
      <c r="I13" s="1">
        <v>63477532</v>
      </c>
      <c r="J13" s="1">
        <v>63493244.068715319</v>
      </c>
      <c r="K13" s="1">
        <v>62106570</v>
      </c>
      <c r="L13" s="1">
        <v>69058870</v>
      </c>
      <c r="M13" s="15">
        <v>74064024</v>
      </c>
      <c r="N13" s="15">
        <v>77383998</v>
      </c>
    </row>
    <row r="14" spans="1:14" ht="22.5" customHeight="1" x14ac:dyDescent="0.25">
      <c r="A14" s="30"/>
      <c r="B14" s="13" t="s">
        <v>14</v>
      </c>
      <c r="C14" s="1">
        <v>24900274</v>
      </c>
      <c r="D14" s="1">
        <v>22662312</v>
      </c>
      <c r="E14" s="1">
        <v>24377259</v>
      </c>
      <c r="F14" s="1">
        <v>22331921</v>
      </c>
      <c r="G14" s="1">
        <v>21742530</v>
      </c>
      <c r="H14" s="1">
        <v>20191980</v>
      </c>
      <c r="I14" s="1">
        <v>21021383</v>
      </c>
      <c r="J14" s="1">
        <v>21483514</v>
      </c>
      <c r="K14" s="1">
        <v>20508481</v>
      </c>
      <c r="L14" s="1">
        <v>23304142</v>
      </c>
      <c r="M14" s="15">
        <v>26101750</v>
      </c>
      <c r="N14" s="15">
        <v>27985382</v>
      </c>
    </row>
    <row r="15" spans="1:14" ht="22.5" customHeight="1" x14ac:dyDescent="0.25">
      <c r="A15" s="30"/>
      <c r="B15" s="13" t="s">
        <v>15</v>
      </c>
      <c r="C15" s="1">
        <v>329700</v>
      </c>
      <c r="D15" s="1">
        <v>73495</v>
      </c>
      <c r="E15" s="1">
        <v>51790</v>
      </c>
      <c r="F15" s="1">
        <v>209707</v>
      </c>
      <c r="G15" s="1">
        <v>178638</v>
      </c>
      <c r="H15" s="1">
        <v>130088</v>
      </c>
      <c r="I15" s="1">
        <v>60939</v>
      </c>
      <c r="J15" s="1">
        <v>28909</v>
      </c>
      <c r="K15" s="1">
        <v>23921</v>
      </c>
      <c r="L15" s="1">
        <v>15349</v>
      </c>
      <c r="M15" s="15">
        <v>14195</v>
      </c>
      <c r="N15" s="15">
        <v>9768</v>
      </c>
    </row>
    <row r="16" spans="1:14" ht="22.5" customHeight="1" x14ac:dyDescent="0.25">
      <c r="A16" s="30"/>
      <c r="B16" s="13" t="s">
        <v>16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2.5" customHeight="1" x14ac:dyDescent="0.25">
      <c r="A17" s="30"/>
      <c r="B17" s="13" t="s">
        <v>17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22.5" customHeight="1" x14ac:dyDescent="0.25">
      <c r="A18" s="30"/>
      <c r="B18" s="24" t="s">
        <v>21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22.5" customHeight="1" x14ac:dyDescent="0.25">
      <c r="A19" s="30"/>
      <c r="B19" s="1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2.5" customHeight="1" x14ac:dyDescent="0.25">
      <c r="A20" s="31"/>
      <c r="B20" s="14" t="s">
        <v>18</v>
      </c>
      <c r="C20" s="1">
        <f>SUM(C13:C17,C19)</f>
        <v>100951992</v>
      </c>
      <c r="D20" s="1">
        <f t="shared" ref="D20:M20" si="3">SUM(D13:D17,D19)</f>
        <v>91627192</v>
      </c>
      <c r="E20" s="1">
        <f t="shared" si="3"/>
        <v>98152480</v>
      </c>
      <c r="F20" s="1">
        <f t="shared" si="3"/>
        <v>88462295</v>
      </c>
      <c r="G20" s="1">
        <f t="shared" si="3"/>
        <v>87427444</v>
      </c>
      <c r="H20" s="1">
        <f t="shared" si="3"/>
        <v>83212288</v>
      </c>
      <c r="I20" s="1">
        <f t="shared" si="3"/>
        <v>84559854</v>
      </c>
      <c r="J20" s="1">
        <f t="shared" si="3"/>
        <v>85005667.068715319</v>
      </c>
      <c r="K20" s="1">
        <f t="shared" si="3"/>
        <v>82638972</v>
      </c>
      <c r="L20" s="1">
        <f t="shared" ref="L20" si="4">SUM(L13:L17,L19)</f>
        <v>92378361</v>
      </c>
      <c r="M20" s="15">
        <f t="shared" si="3"/>
        <v>100179969</v>
      </c>
      <c r="N20" s="15">
        <f t="shared" ref="N20" si="5">SUM(N13:N17,N19)</f>
        <v>105379148</v>
      </c>
    </row>
    <row r="21" spans="1:14" ht="22.5" customHeight="1" x14ac:dyDescent="0.25">
      <c r="A21" s="26" t="s">
        <v>18</v>
      </c>
      <c r="B21" s="27"/>
      <c r="C21" s="8">
        <f>C11+C20</f>
        <v>101952393</v>
      </c>
      <c r="D21" s="8">
        <f t="shared" ref="D21:M21" si="6">D11+D20</f>
        <v>92474727</v>
      </c>
      <c r="E21" s="8">
        <f t="shared" si="6"/>
        <v>98793697.519999996</v>
      </c>
      <c r="F21" s="8">
        <f t="shared" si="6"/>
        <v>88874007</v>
      </c>
      <c r="G21" s="8">
        <f t="shared" si="6"/>
        <v>87632238</v>
      </c>
      <c r="H21" s="8">
        <f t="shared" si="6"/>
        <v>83337720</v>
      </c>
      <c r="I21" s="8">
        <f t="shared" si="6"/>
        <v>84804746</v>
      </c>
      <c r="J21" s="8">
        <f t="shared" si="6"/>
        <v>85142296.068715319</v>
      </c>
      <c r="K21" s="8">
        <f t="shared" si="6"/>
        <v>82790000</v>
      </c>
      <c r="L21" s="8">
        <f t="shared" ref="L21" si="7">L11+L20</f>
        <v>92717027</v>
      </c>
      <c r="M21" s="16">
        <f t="shared" si="6"/>
        <v>100790752</v>
      </c>
      <c r="N21" s="16">
        <f t="shared" ref="N21" si="8">N11+N20</f>
        <v>106060631</v>
      </c>
    </row>
  </sheetData>
  <mergeCells count="8">
    <mergeCell ref="A21:B21"/>
    <mergeCell ref="A2:N2"/>
    <mergeCell ref="A4:A11"/>
    <mergeCell ref="B4:N4"/>
    <mergeCell ref="B9:N9"/>
    <mergeCell ref="B18:N18"/>
    <mergeCell ref="A12:A20"/>
    <mergeCell ref="B12:N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zoomScale="70" zoomScaleNormal="70" workbookViewId="0">
      <selection activeCell="K24" sqref="K24"/>
    </sheetView>
  </sheetViews>
  <sheetFormatPr defaultColWidth="9.140625" defaultRowHeight="22.5" customHeight="1" x14ac:dyDescent="0.25"/>
  <cols>
    <col min="1" max="1" width="24.85546875" style="9" customWidth="1"/>
    <col min="2" max="2" width="14.85546875" style="9" customWidth="1"/>
    <col min="3" max="3" width="16" style="9" customWidth="1"/>
    <col min="4" max="4" width="16.7109375" style="9" customWidth="1"/>
    <col min="5" max="5" width="16.42578125" style="9" customWidth="1"/>
    <col min="6" max="6" width="15.85546875" style="9" customWidth="1"/>
    <col min="7" max="7" width="17.85546875" style="9" customWidth="1"/>
    <col min="8" max="8" width="18.42578125" style="9" customWidth="1"/>
    <col min="9" max="9" width="19.85546875" style="9" customWidth="1"/>
    <col min="10" max="10" width="21" style="9" customWidth="1"/>
    <col min="11" max="12" width="22.140625" style="9" customWidth="1"/>
    <col min="13" max="14" width="24.28515625" style="9" customWidth="1"/>
    <col min="15" max="16384" width="9.140625" style="9"/>
  </cols>
  <sheetData>
    <row r="2" spans="1:14" s="11" customFormat="1" ht="42.75" customHeight="1" x14ac:dyDescent="0.25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s="11" customFormat="1" ht="22.5" customHeight="1" x14ac:dyDescent="0.25">
      <c r="A4" s="29" t="s">
        <v>26</v>
      </c>
      <c r="B4" s="32" t="s">
        <v>20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30"/>
      <c r="B5" s="3" t="s">
        <v>15</v>
      </c>
      <c r="C5" s="15">
        <v>63296</v>
      </c>
      <c r="D5" s="15">
        <v>24795</v>
      </c>
      <c r="E5" s="15">
        <v>11046</v>
      </c>
      <c r="F5" s="15">
        <v>11045</v>
      </c>
      <c r="G5" s="15">
        <v>2750</v>
      </c>
      <c r="H5" s="15">
        <v>0</v>
      </c>
      <c r="I5" s="15">
        <v>0</v>
      </c>
      <c r="J5" s="1">
        <v>0</v>
      </c>
      <c r="K5" s="1">
        <v>5500</v>
      </c>
      <c r="L5" s="15">
        <v>8284</v>
      </c>
      <c r="M5" s="15">
        <v>11034</v>
      </c>
      <c r="N5" s="15">
        <v>16500</v>
      </c>
    </row>
    <row r="6" spans="1:14" ht="22.5" customHeight="1" x14ac:dyDescent="0.25">
      <c r="A6" s="30"/>
      <c r="B6" s="3" t="s">
        <v>16</v>
      </c>
      <c r="C6" s="15">
        <v>702971</v>
      </c>
      <c r="D6" s="15">
        <v>707015</v>
      </c>
      <c r="E6" s="15">
        <v>620234</v>
      </c>
      <c r="F6" s="15">
        <v>67413</v>
      </c>
      <c r="G6" s="15">
        <v>46200</v>
      </c>
      <c r="H6" s="15">
        <v>39346</v>
      </c>
      <c r="I6" s="15">
        <v>37164</v>
      </c>
      <c r="J6" s="15">
        <v>36907</v>
      </c>
      <c r="K6" s="15">
        <v>47040</v>
      </c>
      <c r="L6" s="15">
        <v>48066</v>
      </c>
      <c r="M6" s="15">
        <v>111579</v>
      </c>
      <c r="N6" s="15">
        <v>97634</v>
      </c>
    </row>
    <row r="7" spans="1:14" ht="22.5" customHeight="1" x14ac:dyDescent="0.25">
      <c r="A7" s="30"/>
      <c r="B7" s="3" t="s">
        <v>17</v>
      </c>
      <c r="C7" s="15">
        <v>17980</v>
      </c>
      <c r="D7" s="15">
        <v>14241</v>
      </c>
      <c r="E7" s="15">
        <v>11310</v>
      </c>
      <c r="F7" s="15">
        <v>7790</v>
      </c>
      <c r="G7" s="15">
        <v>8210</v>
      </c>
      <c r="H7" s="15">
        <v>9090</v>
      </c>
      <c r="I7" s="15">
        <v>9365</v>
      </c>
      <c r="J7" s="15">
        <v>9215</v>
      </c>
      <c r="K7" s="15">
        <v>10695</v>
      </c>
      <c r="L7" s="15">
        <v>2795</v>
      </c>
      <c r="M7" s="15">
        <v>19290</v>
      </c>
      <c r="N7" s="15">
        <v>11600</v>
      </c>
    </row>
    <row r="8" spans="1:14" ht="22.5" customHeight="1" x14ac:dyDescent="0.25">
      <c r="A8" s="30"/>
      <c r="B8" s="32" t="s">
        <v>21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5"/>
    </row>
    <row r="9" spans="1:14" ht="22.5" customHeight="1" x14ac:dyDescent="0.25">
      <c r="A9" s="30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2.5" customHeight="1" x14ac:dyDescent="0.25">
      <c r="A10" s="31"/>
      <c r="B10" s="4" t="s">
        <v>18</v>
      </c>
      <c r="C10" s="1">
        <f t="shared" ref="C10:N10" si="0">SUM(C5:C7,C9)</f>
        <v>784247</v>
      </c>
      <c r="D10" s="1">
        <f t="shared" si="0"/>
        <v>746051</v>
      </c>
      <c r="E10" s="1">
        <f t="shared" si="0"/>
        <v>642590</v>
      </c>
      <c r="F10" s="1">
        <f t="shared" si="0"/>
        <v>86248</v>
      </c>
      <c r="G10" s="1">
        <f t="shared" si="0"/>
        <v>57160</v>
      </c>
      <c r="H10" s="1">
        <f t="shared" si="0"/>
        <v>48436</v>
      </c>
      <c r="I10" s="1">
        <f t="shared" si="0"/>
        <v>46529</v>
      </c>
      <c r="J10" s="15">
        <f t="shared" si="0"/>
        <v>46122</v>
      </c>
      <c r="K10" s="1">
        <f t="shared" si="0"/>
        <v>63235</v>
      </c>
      <c r="L10" s="1">
        <f t="shared" si="0"/>
        <v>59145</v>
      </c>
      <c r="M10" s="15">
        <f t="shared" si="0"/>
        <v>141903</v>
      </c>
      <c r="N10" s="15">
        <f t="shared" si="0"/>
        <v>125734</v>
      </c>
    </row>
    <row r="11" spans="1:14" ht="22.5" customHeight="1" x14ac:dyDescent="0.25">
      <c r="A11" s="29" t="s">
        <v>28</v>
      </c>
      <c r="B11" s="32" t="s">
        <v>20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</row>
    <row r="12" spans="1:14" ht="22.5" customHeight="1" x14ac:dyDescent="0.25">
      <c r="A12" s="30"/>
      <c r="B12" s="13" t="s">
        <v>19</v>
      </c>
      <c r="C12" s="15">
        <v>77342094</v>
      </c>
      <c r="D12" s="15">
        <v>72465098</v>
      </c>
      <c r="E12" s="15">
        <v>75359949</v>
      </c>
      <c r="F12" s="15">
        <v>70302623</v>
      </c>
      <c r="G12" s="15">
        <v>71345336</v>
      </c>
      <c r="H12" s="15">
        <v>64583721</v>
      </c>
      <c r="I12" s="15">
        <v>65905197</v>
      </c>
      <c r="J12" s="15">
        <v>67913920</v>
      </c>
      <c r="K12" s="15">
        <v>65119124</v>
      </c>
      <c r="L12" s="15">
        <v>73750464</v>
      </c>
      <c r="M12" s="15">
        <v>81036382</v>
      </c>
      <c r="N12" s="15">
        <v>83776966</v>
      </c>
    </row>
    <row r="13" spans="1:14" ht="22.5" customHeight="1" x14ac:dyDescent="0.25">
      <c r="A13" s="30"/>
      <c r="B13" s="13" t="s">
        <v>14</v>
      </c>
      <c r="C13" s="15">
        <v>26158801</v>
      </c>
      <c r="D13" s="15">
        <v>25125641</v>
      </c>
      <c r="E13" s="15">
        <v>26242123</v>
      </c>
      <c r="F13" s="15">
        <v>23808958</v>
      </c>
      <c r="G13" s="15">
        <v>23539593</v>
      </c>
      <c r="H13" s="15">
        <v>21983748</v>
      </c>
      <c r="I13" s="15">
        <v>22843641</v>
      </c>
      <c r="J13" s="15">
        <v>22476928</v>
      </c>
      <c r="K13" s="15">
        <v>21402476</v>
      </c>
      <c r="L13" s="15">
        <v>23996311</v>
      </c>
      <c r="M13" s="15">
        <v>26499559</v>
      </c>
      <c r="N13" s="15">
        <v>29039271</v>
      </c>
    </row>
    <row r="14" spans="1:14" ht="22.5" customHeight="1" x14ac:dyDescent="0.25">
      <c r="A14" s="30"/>
      <c r="B14" s="13" t="s">
        <v>15</v>
      </c>
      <c r="C14" s="15">
        <v>5836</v>
      </c>
      <c r="D14" s="15">
        <v>7555</v>
      </c>
      <c r="E14" s="15">
        <v>16526</v>
      </c>
      <c r="F14" s="15">
        <v>20354</v>
      </c>
      <c r="G14" s="15">
        <v>48694</v>
      </c>
      <c r="H14" s="15">
        <v>9219</v>
      </c>
      <c r="I14" s="15">
        <v>12661</v>
      </c>
      <c r="J14" s="15">
        <v>37534</v>
      </c>
      <c r="K14" s="15">
        <v>89926</v>
      </c>
      <c r="L14" s="15">
        <v>306635</v>
      </c>
      <c r="M14" s="15">
        <v>367489</v>
      </c>
      <c r="N14" s="15">
        <v>148793</v>
      </c>
    </row>
    <row r="15" spans="1:14" ht="22.5" customHeight="1" x14ac:dyDescent="0.25">
      <c r="A15" s="30"/>
      <c r="B15" s="13" t="s">
        <v>16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2.5" customHeight="1" x14ac:dyDescent="0.25">
      <c r="A16" s="30"/>
      <c r="B16" s="13" t="s">
        <v>17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2.5" customHeight="1" x14ac:dyDescent="0.25">
      <c r="A17" s="30"/>
      <c r="B17" s="24" t="s">
        <v>21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ht="22.5" customHeight="1" x14ac:dyDescent="0.25">
      <c r="A18" s="30"/>
      <c r="B18" s="1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22.5" customHeight="1" x14ac:dyDescent="0.25">
      <c r="A19" s="31"/>
      <c r="B19" s="14" t="s">
        <v>18</v>
      </c>
      <c r="C19" s="1">
        <f>SUM(C12:C16,C18)</f>
        <v>103506731</v>
      </c>
      <c r="D19" s="1">
        <f t="shared" ref="D19:N19" si="1">SUM(D12:D16,D18)</f>
        <v>97598294</v>
      </c>
      <c r="E19" s="1">
        <f t="shared" si="1"/>
        <v>101618598</v>
      </c>
      <c r="F19" s="1">
        <f t="shared" si="1"/>
        <v>94131935</v>
      </c>
      <c r="G19" s="1">
        <f t="shared" si="1"/>
        <v>94933623</v>
      </c>
      <c r="H19" s="1">
        <f t="shared" si="1"/>
        <v>86576688</v>
      </c>
      <c r="I19" s="1">
        <f t="shared" si="1"/>
        <v>88761499</v>
      </c>
      <c r="J19" s="15">
        <f t="shared" si="1"/>
        <v>90428382</v>
      </c>
      <c r="K19" s="1">
        <f t="shared" si="1"/>
        <v>86611526</v>
      </c>
      <c r="L19" s="1">
        <f t="shared" si="1"/>
        <v>98053410</v>
      </c>
      <c r="M19" s="15">
        <f t="shared" si="1"/>
        <v>107903430</v>
      </c>
      <c r="N19" s="15">
        <f t="shared" si="1"/>
        <v>112965030</v>
      </c>
    </row>
    <row r="20" spans="1:14" ht="22.5" customHeight="1" x14ac:dyDescent="0.25">
      <c r="A20" s="26" t="s">
        <v>18</v>
      </c>
      <c r="B20" s="27"/>
      <c r="C20" s="8">
        <f>C10+C19</f>
        <v>104290978</v>
      </c>
      <c r="D20" s="8">
        <f t="shared" ref="D20:N20" si="2">D10+D19</f>
        <v>98344345</v>
      </c>
      <c r="E20" s="8">
        <f t="shared" si="2"/>
        <v>102261188</v>
      </c>
      <c r="F20" s="8">
        <f t="shared" si="2"/>
        <v>94218183</v>
      </c>
      <c r="G20" s="8">
        <f t="shared" si="2"/>
        <v>94990783</v>
      </c>
      <c r="H20" s="8">
        <f t="shared" si="2"/>
        <v>86625124</v>
      </c>
      <c r="I20" s="8">
        <f t="shared" si="2"/>
        <v>88808028</v>
      </c>
      <c r="J20" s="16">
        <f t="shared" si="2"/>
        <v>90474504</v>
      </c>
      <c r="K20" s="8">
        <f t="shared" si="2"/>
        <v>86674761</v>
      </c>
      <c r="L20" s="8">
        <f t="shared" si="2"/>
        <v>98112555</v>
      </c>
      <c r="M20" s="16">
        <f t="shared" si="2"/>
        <v>108045333</v>
      </c>
      <c r="N20" s="16">
        <f t="shared" si="2"/>
        <v>113090764</v>
      </c>
    </row>
  </sheetData>
  <mergeCells count="8">
    <mergeCell ref="A20:B20"/>
    <mergeCell ref="A2:N2"/>
    <mergeCell ref="A4:A10"/>
    <mergeCell ref="B4:N4"/>
    <mergeCell ref="B8:N8"/>
    <mergeCell ref="A11:A19"/>
    <mergeCell ref="B11:N11"/>
    <mergeCell ref="B17:N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zoomScale="70" zoomScaleNormal="70" workbookViewId="0">
      <selection activeCell="M29" sqref="M29"/>
    </sheetView>
  </sheetViews>
  <sheetFormatPr defaultColWidth="9.140625" defaultRowHeight="22.5" customHeight="1" x14ac:dyDescent="0.25"/>
  <cols>
    <col min="1" max="1" width="24.85546875" style="9" customWidth="1"/>
    <col min="2" max="2" width="14.85546875" style="9" customWidth="1"/>
    <col min="3" max="3" width="16" style="9" customWidth="1"/>
    <col min="4" max="4" width="16.7109375" style="9" customWidth="1"/>
    <col min="5" max="5" width="16.42578125" style="9" customWidth="1"/>
    <col min="6" max="6" width="15.85546875" style="9" customWidth="1"/>
    <col min="7" max="7" width="17.85546875" style="9" customWidth="1"/>
    <col min="8" max="8" width="18.42578125" style="9" customWidth="1"/>
    <col min="9" max="9" width="19.85546875" style="9" customWidth="1"/>
    <col min="10" max="10" width="21" style="9" customWidth="1"/>
    <col min="11" max="12" width="22.140625" style="9" customWidth="1"/>
    <col min="13" max="14" width="24.28515625" style="9" customWidth="1"/>
    <col min="15" max="16384" width="9.140625" style="9"/>
  </cols>
  <sheetData>
    <row r="2" spans="1:14" s="11" customFormat="1" ht="42.75" customHeight="1" x14ac:dyDescent="0.25">
      <c r="A2" s="28" t="s">
        <v>29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s="11" customFormat="1" ht="22.5" customHeight="1" x14ac:dyDescent="0.25">
      <c r="A4" s="29" t="s">
        <v>26</v>
      </c>
      <c r="B4" s="32" t="s">
        <v>20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30"/>
      <c r="B5" s="3" t="s">
        <v>15</v>
      </c>
      <c r="C5" s="15">
        <v>19318</v>
      </c>
      <c r="D5" s="15">
        <v>13784</v>
      </c>
      <c r="E5" s="15">
        <v>8284</v>
      </c>
      <c r="F5" s="15">
        <v>8284</v>
      </c>
      <c r="G5" s="15">
        <v>2784</v>
      </c>
      <c r="H5" s="15">
        <v>0</v>
      </c>
      <c r="I5" s="15">
        <v>0</v>
      </c>
      <c r="J5" s="1">
        <v>0</v>
      </c>
      <c r="K5" s="1">
        <v>2750</v>
      </c>
      <c r="L5" s="15">
        <v>2750</v>
      </c>
      <c r="M5" s="15">
        <v>34</v>
      </c>
      <c r="N5" s="15">
        <v>32121</v>
      </c>
    </row>
    <row r="6" spans="1:14" ht="22.5" customHeight="1" x14ac:dyDescent="0.25">
      <c r="A6" s="30"/>
      <c r="B6" s="3" t="s">
        <v>16</v>
      </c>
      <c r="C6" s="15">
        <v>125870</v>
      </c>
      <c r="D6" s="15">
        <v>96273</v>
      </c>
      <c r="E6" s="15">
        <v>78074</v>
      </c>
      <c r="F6" s="15">
        <f>55977+14192</f>
        <v>70169</v>
      </c>
      <c r="G6" s="15">
        <v>47672</v>
      </c>
      <c r="H6" s="15">
        <v>42680</v>
      </c>
      <c r="I6" s="15">
        <v>33816</v>
      </c>
      <c r="J6" s="15">
        <v>38385</v>
      </c>
      <c r="K6" s="15">
        <f>50989+1326</f>
        <v>52315</v>
      </c>
      <c r="L6" s="15">
        <v>64115</v>
      </c>
      <c r="M6" s="15">
        <v>69224</v>
      </c>
      <c r="N6" s="15">
        <v>93741</v>
      </c>
    </row>
    <row r="7" spans="1:14" ht="22.5" customHeight="1" x14ac:dyDescent="0.25">
      <c r="A7" s="30"/>
      <c r="B7" s="3" t="s">
        <v>17</v>
      </c>
      <c r="C7" s="15">
        <v>15380</v>
      </c>
      <c r="D7" s="15">
        <v>11280</v>
      </c>
      <c r="E7" s="15">
        <v>8600</v>
      </c>
      <c r="F7" s="15">
        <v>6675</v>
      </c>
      <c r="G7" s="15">
        <v>6705</v>
      </c>
      <c r="H7" s="15">
        <v>6935</v>
      </c>
      <c r="I7" s="15">
        <v>7750</v>
      </c>
      <c r="J7" s="15">
        <v>7360</v>
      </c>
      <c r="K7" s="15">
        <v>8900</v>
      </c>
      <c r="L7" s="15">
        <v>8690</v>
      </c>
      <c r="M7" s="15">
        <v>12460</v>
      </c>
      <c r="N7" s="15">
        <v>11305</v>
      </c>
    </row>
    <row r="8" spans="1:14" ht="22.5" customHeight="1" x14ac:dyDescent="0.25">
      <c r="A8" s="30"/>
      <c r="B8" s="32" t="s">
        <v>21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5"/>
    </row>
    <row r="9" spans="1:14" ht="22.5" customHeight="1" x14ac:dyDescent="0.25">
      <c r="A9" s="30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2.5" customHeight="1" x14ac:dyDescent="0.25">
      <c r="A10" s="31"/>
      <c r="B10" s="4" t="s">
        <v>18</v>
      </c>
      <c r="C10" s="1">
        <f t="shared" ref="C10:N10" si="0">SUM(C5:C7,C9)</f>
        <v>160568</v>
      </c>
      <c r="D10" s="1">
        <f t="shared" si="0"/>
        <v>121337</v>
      </c>
      <c r="E10" s="1">
        <f t="shared" si="0"/>
        <v>94958</v>
      </c>
      <c r="F10" s="1">
        <f t="shared" si="0"/>
        <v>85128</v>
      </c>
      <c r="G10" s="1">
        <f t="shared" ref="G10" si="1">SUM(G5:G7,G9)</f>
        <v>57161</v>
      </c>
      <c r="H10" s="1">
        <f t="shared" si="0"/>
        <v>49615</v>
      </c>
      <c r="I10" s="1">
        <f t="shared" ref="I10:J10" si="2">SUM(I5:I7,I9)</f>
        <v>41566</v>
      </c>
      <c r="J10" s="15">
        <f t="shared" si="2"/>
        <v>45745</v>
      </c>
      <c r="K10" s="1">
        <f t="shared" si="0"/>
        <v>63965</v>
      </c>
      <c r="L10" s="1">
        <f t="shared" si="0"/>
        <v>75555</v>
      </c>
      <c r="M10" s="15">
        <f t="shared" si="0"/>
        <v>81718</v>
      </c>
      <c r="N10" s="15">
        <f t="shared" si="0"/>
        <v>137167</v>
      </c>
    </row>
    <row r="11" spans="1:14" ht="22.5" customHeight="1" x14ac:dyDescent="0.25">
      <c r="A11" s="29" t="s">
        <v>28</v>
      </c>
      <c r="B11" s="32" t="s">
        <v>20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</row>
    <row r="12" spans="1:14" ht="22.5" customHeight="1" x14ac:dyDescent="0.25">
      <c r="A12" s="30"/>
      <c r="B12" s="13" t="s">
        <v>19</v>
      </c>
      <c r="C12" s="15">
        <v>83511567</v>
      </c>
      <c r="D12" s="15">
        <v>75080715</v>
      </c>
      <c r="E12" s="15">
        <v>82600340</v>
      </c>
      <c r="F12" s="15">
        <v>25494118</v>
      </c>
      <c r="G12" s="15">
        <v>73829185</v>
      </c>
      <c r="H12" s="15">
        <v>67912176</v>
      </c>
      <c r="I12" s="15">
        <v>71400431</v>
      </c>
      <c r="J12" s="15">
        <v>70562933</v>
      </c>
      <c r="K12" s="15">
        <v>70426889</v>
      </c>
      <c r="L12" s="15">
        <v>75646041</v>
      </c>
      <c r="M12" s="15">
        <v>82268232</v>
      </c>
      <c r="N12" s="15">
        <v>86190379</v>
      </c>
    </row>
    <row r="13" spans="1:14" ht="22.5" customHeight="1" x14ac:dyDescent="0.25">
      <c r="A13" s="30"/>
      <c r="B13" s="13" t="s">
        <v>14</v>
      </c>
      <c r="C13" s="15">
        <v>29203093</v>
      </c>
      <c r="D13" s="15">
        <v>25923897</v>
      </c>
      <c r="E13" s="15">
        <v>27927154</v>
      </c>
      <c r="F13" s="15">
        <v>76382695</v>
      </c>
      <c r="G13" s="15">
        <v>24132217</v>
      </c>
      <c r="H13" s="15">
        <v>22151205</v>
      </c>
      <c r="I13" s="15">
        <v>23184299</v>
      </c>
      <c r="J13" s="15">
        <v>22777621</v>
      </c>
      <c r="K13" s="15">
        <v>23688274</v>
      </c>
      <c r="L13" s="15">
        <v>25806447</v>
      </c>
      <c r="M13" s="15">
        <v>27995913</v>
      </c>
      <c r="N13" s="15">
        <v>29733600</v>
      </c>
    </row>
    <row r="14" spans="1:14" ht="22.5" customHeight="1" x14ac:dyDescent="0.25">
      <c r="A14" s="30"/>
      <c r="B14" s="13" t="s">
        <v>15</v>
      </c>
      <c r="C14" s="15">
        <v>42054</v>
      </c>
      <c r="D14" s="15">
        <v>31194</v>
      </c>
      <c r="E14" s="15">
        <v>29062</v>
      </c>
      <c r="F14" s="15">
        <v>3137</v>
      </c>
      <c r="G14" s="15">
        <f>77578</f>
        <v>77578</v>
      </c>
      <c r="H14" s="15">
        <v>10135</v>
      </c>
      <c r="I14" s="15">
        <v>83384</v>
      </c>
      <c r="J14" s="15">
        <v>114879</v>
      </c>
      <c r="K14" s="15">
        <v>34843</v>
      </c>
      <c r="L14" s="15">
        <v>21182</v>
      </c>
      <c r="M14" s="15">
        <v>9981</v>
      </c>
      <c r="N14" s="15">
        <v>12705</v>
      </c>
    </row>
    <row r="15" spans="1:14" ht="22.5" customHeight="1" x14ac:dyDescent="0.25">
      <c r="A15" s="30"/>
      <c r="B15" s="13" t="s">
        <v>16</v>
      </c>
      <c r="C15" s="15">
        <f>390689+536475</f>
        <v>927164</v>
      </c>
      <c r="D15" s="1">
        <f>390659+425551</f>
        <v>816210</v>
      </c>
      <c r="E15" s="15">
        <v>651593</v>
      </c>
      <c r="F15" s="1">
        <f>263048+192903</f>
        <v>455951</v>
      </c>
      <c r="G15" s="1">
        <v>417173</v>
      </c>
      <c r="H15" s="1">
        <f>104063+246873</f>
        <v>350936</v>
      </c>
      <c r="I15" s="1">
        <v>382208</v>
      </c>
      <c r="J15" s="1">
        <f>114959+261625</f>
        <v>376584</v>
      </c>
      <c r="K15" s="1">
        <f>94082+441270</f>
        <v>535352</v>
      </c>
      <c r="L15" s="1">
        <f>227585+406235</f>
        <v>633820</v>
      </c>
      <c r="M15" s="1">
        <v>695986</v>
      </c>
      <c r="N15" s="1">
        <v>778125</v>
      </c>
    </row>
    <row r="16" spans="1:14" ht="22.5" customHeight="1" x14ac:dyDescent="0.25">
      <c r="A16" s="30"/>
      <c r="B16" s="13" t="s">
        <v>17</v>
      </c>
      <c r="C16" s="15">
        <f>296303+21253</f>
        <v>317556</v>
      </c>
      <c r="D16" s="1">
        <f>249079+37909</f>
        <v>286988</v>
      </c>
      <c r="E16" s="15">
        <v>228271</v>
      </c>
      <c r="F16" s="1">
        <v>202910</v>
      </c>
      <c r="G16" s="1">
        <v>194555</v>
      </c>
      <c r="H16" s="1">
        <v>117587</v>
      </c>
      <c r="I16" s="1">
        <v>118173</v>
      </c>
      <c r="J16" s="1">
        <v>106086</v>
      </c>
      <c r="K16" s="1">
        <v>157510</v>
      </c>
      <c r="L16" s="1">
        <v>211062</v>
      </c>
      <c r="M16" s="1">
        <v>247009</v>
      </c>
      <c r="N16" s="1">
        <v>270712</v>
      </c>
    </row>
    <row r="17" spans="1:14" ht="22.5" customHeight="1" x14ac:dyDescent="0.25">
      <c r="A17" s="30"/>
      <c r="B17" s="24" t="s">
        <v>21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ht="22.5" customHeight="1" x14ac:dyDescent="0.25">
      <c r="A18" s="30"/>
      <c r="B18" s="13"/>
      <c r="C18" s="1">
        <f>11447+34100</f>
        <v>45547</v>
      </c>
      <c r="D18" s="1">
        <v>35908</v>
      </c>
      <c r="E18" s="1">
        <v>36808</v>
      </c>
      <c r="F18" s="1">
        <f>21353+6780</f>
        <v>28133</v>
      </c>
      <c r="G18" s="1">
        <v>28170</v>
      </c>
      <c r="H18" s="1">
        <f>3306+26527</f>
        <v>29833</v>
      </c>
      <c r="I18" s="1">
        <v>24363</v>
      </c>
      <c r="J18" s="1">
        <f>1549+23350</f>
        <v>24899</v>
      </c>
      <c r="K18" s="1">
        <f>1883+36073</f>
        <v>37956</v>
      </c>
      <c r="L18" s="1">
        <f>2197+27110</f>
        <v>29307</v>
      </c>
      <c r="M18" s="1">
        <v>36065</v>
      </c>
      <c r="N18" s="1">
        <v>60383</v>
      </c>
    </row>
    <row r="19" spans="1:14" ht="22.5" customHeight="1" x14ac:dyDescent="0.25">
      <c r="A19" s="31"/>
      <c r="B19" s="14" t="s">
        <v>18</v>
      </c>
      <c r="C19" s="1">
        <f>SUM(C12:C16,C18)</f>
        <v>114046981</v>
      </c>
      <c r="D19" s="1">
        <f t="shared" ref="D19:N19" si="3">SUM(D12:D16,D18)</f>
        <v>102174912</v>
      </c>
      <c r="E19" s="1">
        <f t="shared" si="3"/>
        <v>111473228</v>
      </c>
      <c r="F19" s="1">
        <f t="shared" ref="F19:G19" si="4">SUM(F12:F16,F18)</f>
        <v>102566944</v>
      </c>
      <c r="G19" s="1">
        <f t="shared" si="4"/>
        <v>98678878</v>
      </c>
      <c r="H19" s="1">
        <f t="shared" si="3"/>
        <v>90571872</v>
      </c>
      <c r="I19" s="1">
        <f t="shared" ref="I19:J19" si="5">SUM(I12:I16,I18)</f>
        <v>95192858</v>
      </c>
      <c r="J19" s="15">
        <f t="shared" si="5"/>
        <v>93963002</v>
      </c>
      <c r="K19" s="15">
        <f t="shared" ref="K19" si="6">SUM(K12:K16,K18)</f>
        <v>94880824</v>
      </c>
      <c r="L19" s="1">
        <f t="shared" si="3"/>
        <v>102347859</v>
      </c>
      <c r="M19" s="15">
        <f t="shared" si="3"/>
        <v>111253186</v>
      </c>
      <c r="N19" s="15">
        <f t="shared" si="3"/>
        <v>117045904</v>
      </c>
    </row>
    <row r="20" spans="1:14" ht="22.5" customHeight="1" x14ac:dyDescent="0.25">
      <c r="A20" s="26" t="s">
        <v>18</v>
      </c>
      <c r="B20" s="27"/>
      <c r="C20" s="8">
        <f>C10+C19</f>
        <v>114207549</v>
      </c>
      <c r="D20" s="8">
        <f t="shared" ref="D20:N20" si="7">D10+D19</f>
        <v>102296249</v>
      </c>
      <c r="E20" s="8">
        <f t="shared" si="7"/>
        <v>111568186</v>
      </c>
      <c r="F20" s="8">
        <f t="shared" si="7"/>
        <v>102652072</v>
      </c>
      <c r="G20" s="8">
        <f t="shared" ref="G20" si="8">G10+G19</f>
        <v>98736039</v>
      </c>
      <c r="H20" s="8">
        <f t="shared" si="7"/>
        <v>90621487</v>
      </c>
      <c r="I20" s="8">
        <f t="shared" ref="I20:J20" si="9">I10+I19</f>
        <v>95234424</v>
      </c>
      <c r="J20" s="16">
        <f t="shared" si="9"/>
        <v>94008747</v>
      </c>
      <c r="K20" s="16">
        <f t="shared" ref="K20" si="10">K10+K19</f>
        <v>94944789</v>
      </c>
      <c r="L20" s="8">
        <f t="shared" si="7"/>
        <v>102423414</v>
      </c>
      <c r="M20" s="16">
        <f t="shared" si="7"/>
        <v>111334904</v>
      </c>
      <c r="N20" s="16">
        <f t="shared" si="7"/>
        <v>117183071</v>
      </c>
    </row>
  </sheetData>
  <mergeCells count="8">
    <mergeCell ref="A20:B20"/>
    <mergeCell ref="A2:N2"/>
    <mergeCell ref="A4:A10"/>
    <mergeCell ref="B4:N4"/>
    <mergeCell ref="B8:N8"/>
    <mergeCell ref="A11:A19"/>
    <mergeCell ref="B11:N11"/>
    <mergeCell ref="B17:N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zoomScale="70" zoomScaleNormal="70" workbookViewId="0">
      <selection activeCell="Q12" sqref="Q12"/>
    </sheetView>
  </sheetViews>
  <sheetFormatPr defaultColWidth="9.140625" defaultRowHeight="22.5" customHeight="1" x14ac:dyDescent="0.25"/>
  <cols>
    <col min="1" max="1" width="24.85546875" style="9" customWidth="1"/>
    <col min="2" max="2" width="14.85546875" style="9" customWidth="1"/>
    <col min="3" max="3" width="16" style="9" customWidth="1"/>
    <col min="4" max="4" width="16.7109375" style="9" customWidth="1"/>
    <col min="5" max="5" width="16.42578125" style="9" customWidth="1"/>
    <col min="6" max="6" width="15.85546875" style="9" customWidth="1"/>
    <col min="7" max="7" width="17.85546875" style="9" customWidth="1"/>
    <col min="8" max="8" width="18.42578125" style="9" customWidth="1"/>
    <col min="9" max="9" width="19.85546875" style="9" customWidth="1"/>
    <col min="10" max="10" width="21" style="9" customWidth="1"/>
    <col min="11" max="12" width="22.140625" style="9" customWidth="1"/>
    <col min="13" max="14" width="24.28515625" style="9" customWidth="1"/>
    <col min="15" max="16384" width="9.140625" style="9"/>
  </cols>
  <sheetData>
    <row r="2" spans="1:14" s="11" customFormat="1" ht="42.75" customHeight="1" x14ac:dyDescent="0.25">
      <c r="A2" s="28" t="s">
        <v>30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s="11" customFormat="1" ht="22.5" customHeight="1" x14ac:dyDescent="0.25">
      <c r="A4" s="29" t="s">
        <v>26</v>
      </c>
      <c r="B4" s="32" t="s">
        <v>20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30"/>
      <c r="B5" s="3" t="s">
        <v>15</v>
      </c>
      <c r="C5" s="15">
        <v>46962</v>
      </c>
      <c r="D5" s="15">
        <v>32555</v>
      </c>
      <c r="E5" s="15">
        <v>25002</v>
      </c>
      <c r="F5" s="15">
        <v>8033</v>
      </c>
      <c r="G5" s="15">
        <v>8033</v>
      </c>
      <c r="H5" s="15">
        <v>0</v>
      </c>
      <c r="I5" s="15">
        <v>0</v>
      </c>
      <c r="J5" s="15">
        <v>0</v>
      </c>
      <c r="K5" s="15">
        <v>1532</v>
      </c>
      <c r="L5" s="15">
        <v>6879</v>
      </c>
      <c r="M5" s="15">
        <v>15771</v>
      </c>
      <c r="N5" s="15">
        <v>28473</v>
      </c>
    </row>
    <row r="6" spans="1:14" ht="22.5" customHeight="1" x14ac:dyDescent="0.25">
      <c r="A6" s="30"/>
      <c r="B6" s="3" t="s">
        <v>16</v>
      </c>
      <c r="C6" s="15">
        <v>115925</v>
      </c>
      <c r="D6" s="15">
        <v>105539</v>
      </c>
      <c r="E6" s="15">
        <f>52386+26792</f>
        <v>79178</v>
      </c>
      <c r="F6" s="15">
        <v>56414</v>
      </c>
      <c r="G6" s="15">
        <v>56414</v>
      </c>
      <c r="H6" s="15">
        <v>41926</v>
      </c>
      <c r="I6" s="15">
        <v>49242</v>
      </c>
      <c r="J6" s="15">
        <v>38365</v>
      </c>
      <c r="K6" s="15">
        <v>52588</v>
      </c>
      <c r="L6" s="15">
        <v>64555.995999999999</v>
      </c>
      <c r="M6" s="15">
        <v>77000</v>
      </c>
      <c r="N6" s="15">
        <v>107750</v>
      </c>
    </row>
    <row r="7" spans="1:14" ht="22.5" customHeight="1" x14ac:dyDescent="0.25">
      <c r="A7" s="30"/>
      <c r="B7" s="3" t="s">
        <v>17</v>
      </c>
      <c r="C7" s="15">
        <v>15275</v>
      </c>
      <c r="D7" s="15">
        <v>12390</v>
      </c>
      <c r="E7" s="15">
        <v>10020</v>
      </c>
      <c r="F7" s="15">
        <v>8055</v>
      </c>
      <c r="G7" s="15">
        <v>8055</v>
      </c>
      <c r="H7" s="15">
        <v>9760</v>
      </c>
      <c r="I7" s="15">
        <v>10195</v>
      </c>
      <c r="J7" s="15">
        <v>10635</v>
      </c>
      <c r="K7" s="15">
        <v>12525</v>
      </c>
      <c r="L7" s="15">
        <v>13560</v>
      </c>
      <c r="M7" s="15">
        <v>12550</v>
      </c>
      <c r="N7" s="15">
        <v>16510</v>
      </c>
    </row>
    <row r="8" spans="1:14" ht="22.5" customHeight="1" x14ac:dyDescent="0.25">
      <c r="A8" s="30"/>
      <c r="B8" s="32" t="s">
        <v>21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5"/>
    </row>
    <row r="9" spans="1:14" ht="22.5" customHeight="1" x14ac:dyDescent="0.25">
      <c r="A9" s="30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2.5" customHeight="1" x14ac:dyDescent="0.25">
      <c r="A10" s="31"/>
      <c r="B10" s="4" t="s">
        <v>18</v>
      </c>
      <c r="C10" s="8">
        <f t="shared" ref="C10:N10" si="0">SUM(C5:C7,C9)</f>
        <v>178162</v>
      </c>
      <c r="D10" s="8">
        <f t="shared" si="0"/>
        <v>150484</v>
      </c>
      <c r="E10" s="8">
        <f t="shared" si="0"/>
        <v>114200</v>
      </c>
      <c r="F10" s="8">
        <f t="shared" si="0"/>
        <v>72502</v>
      </c>
      <c r="G10" s="8">
        <f t="shared" si="0"/>
        <v>72502</v>
      </c>
      <c r="H10" s="8">
        <f t="shared" si="0"/>
        <v>51686</v>
      </c>
      <c r="I10" s="8">
        <f t="shared" si="0"/>
        <v>59437</v>
      </c>
      <c r="J10" s="8">
        <f t="shared" si="0"/>
        <v>49000</v>
      </c>
      <c r="K10" s="8">
        <f t="shared" si="0"/>
        <v>66645</v>
      </c>
      <c r="L10" s="8">
        <f t="shared" si="0"/>
        <v>84994.995999999999</v>
      </c>
      <c r="M10" s="8">
        <f t="shared" si="0"/>
        <v>105321</v>
      </c>
      <c r="N10" s="8">
        <f t="shared" si="0"/>
        <v>152733</v>
      </c>
    </row>
    <row r="11" spans="1:14" ht="22.5" customHeight="1" x14ac:dyDescent="0.25">
      <c r="A11" s="29" t="s">
        <v>28</v>
      </c>
      <c r="B11" s="32" t="s">
        <v>20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</row>
    <row r="12" spans="1:14" ht="22.5" customHeight="1" x14ac:dyDescent="0.25">
      <c r="A12" s="30"/>
      <c r="B12" s="13" t="s">
        <v>19</v>
      </c>
      <c r="C12" s="15">
        <v>87067571</v>
      </c>
      <c r="D12" s="15">
        <v>76086526</v>
      </c>
      <c r="E12" s="15">
        <v>82660727</v>
      </c>
      <c r="F12" s="15">
        <v>75998365</v>
      </c>
      <c r="G12" s="15">
        <v>75998365</v>
      </c>
      <c r="H12" s="15">
        <v>70997556</v>
      </c>
      <c r="I12" s="15">
        <v>72385033</v>
      </c>
      <c r="J12" s="15">
        <v>71755753</v>
      </c>
      <c r="K12" s="15">
        <v>71492126</v>
      </c>
      <c r="L12" s="15">
        <v>77597309</v>
      </c>
      <c r="M12" s="15">
        <f>83318663+257900</f>
        <v>83576563</v>
      </c>
      <c r="N12" s="15">
        <v>89188170</v>
      </c>
    </row>
    <row r="13" spans="1:14" ht="22.5" customHeight="1" x14ac:dyDescent="0.25">
      <c r="A13" s="30"/>
      <c r="B13" s="13" t="s">
        <v>14</v>
      </c>
      <c r="C13" s="15">
        <v>30627265</v>
      </c>
      <c r="D13" s="15">
        <v>26397456</v>
      </c>
      <c r="E13" s="15">
        <v>28212602</v>
      </c>
      <c r="F13" s="15">
        <v>24707470</v>
      </c>
      <c r="G13" s="15">
        <v>24707470</v>
      </c>
      <c r="H13" s="15">
        <v>23718481</v>
      </c>
      <c r="I13" s="15">
        <v>23684811</v>
      </c>
      <c r="J13" s="15">
        <v>24038003</v>
      </c>
      <c r="K13" s="15">
        <v>23399566</v>
      </c>
      <c r="L13" s="15">
        <v>26453535</v>
      </c>
      <c r="M13" s="15">
        <v>29840220</v>
      </c>
      <c r="N13" s="15">
        <v>31284392</v>
      </c>
    </row>
    <row r="14" spans="1:14" ht="22.5" customHeight="1" x14ac:dyDescent="0.25">
      <c r="A14" s="30"/>
      <c r="B14" s="13" t="s">
        <v>15</v>
      </c>
      <c r="C14" s="15">
        <v>6340</v>
      </c>
      <c r="D14" s="15">
        <v>51564</v>
      </c>
      <c r="E14" s="15">
        <v>36515</v>
      </c>
      <c r="F14" s="15">
        <v>284359</v>
      </c>
      <c r="G14" s="15">
        <v>284359</v>
      </c>
      <c r="H14" s="15">
        <v>17700</v>
      </c>
      <c r="I14" s="15">
        <v>25801</v>
      </c>
      <c r="J14" s="15">
        <v>13991</v>
      </c>
      <c r="K14" s="15">
        <v>28766</v>
      </c>
      <c r="L14" s="15">
        <v>48594</v>
      </c>
      <c r="M14" s="15">
        <v>14914</v>
      </c>
      <c r="N14" s="15">
        <v>10920</v>
      </c>
    </row>
    <row r="15" spans="1:14" ht="22.5" customHeight="1" x14ac:dyDescent="0.25">
      <c r="A15" s="30"/>
      <c r="B15" s="13" t="s">
        <v>16</v>
      </c>
      <c r="C15" s="15">
        <v>887013</v>
      </c>
      <c r="D15" s="1">
        <v>783482</v>
      </c>
      <c r="E15" s="1">
        <v>685490</v>
      </c>
      <c r="F15" s="1">
        <f>206342+287392</f>
        <v>493734</v>
      </c>
      <c r="G15" s="1">
        <v>493734</v>
      </c>
      <c r="H15" s="1">
        <f>124882+238987</f>
        <v>363869</v>
      </c>
      <c r="I15" s="1">
        <f>157354+253845</f>
        <v>411199</v>
      </c>
      <c r="J15" s="15">
        <v>477680</v>
      </c>
      <c r="K15" s="15">
        <v>423638</v>
      </c>
      <c r="L15" s="15">
        <f>152579+333642</f>
        <v>486221</v>
      </c>
      <c r="M15" s="15">
        <v>464339</v>
      </c>
      <c r="N15" s="15">
        <f>364622+481064</f>
        <v>845686</v>
      </c>
    </row>
    <row r="16" spans="1:14" ht="22.5" customHeight="1" x14ac:dyDescent="0.25">
      <c r="A16" s="30"/>
      <c r="B16" s="13" t="s">
        <v>17</v>
      </c>
      <c r="C16" s="15">
        <v>316526</v>
      </c>
      <c r="D16" s="1">
        <v>278875</v>
      </c>
      <c r="E16" s="1">
        <v>250795</v>
      </c>
      <c r="F16" s="1">
        <v>209547</v>
      </c>
      <c r="G16" s="1">
        <v>209547</v>
      </c>
      <c r="H16" s="1">
        <v>133864</v>
      </c>
      <c r="I16" s="1">
        <v>123390</v>
      </c>
      <c r="J16" s="15">
        <v>128149</v>
      </c>
      <c r="K16" s="15">
        <v>186738</v>
      </c>
      <c r="L16" s="15">
        <v>211538</v>
      </c>
      <c r="M16" s="15">
        <v>256991</v>
      </c>
      <c r="N16" s="15">
        <v>302907</v>
      </c>
    </row>
    <row r="17" spans="1:14" ht="22.5" customHeight="1" x14ac:dyDescent="0.25">
      <c r="A17" s="30"/>
      <c r="B17" s="24" t="s">
        <v>21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ht="22.5" customHeight="1" x14ac:dyDescent="0.25">
      <c r="A18" s="30"/>
      <c r="B18" s="13"/>
      <c r="C18" s="1">
        <v>43485</v>
      </c>
      <c r="D18" s="1">
        <v>43401</v>
      </c>
      <c r="E18" s="1">
        <v>37914</v>
      </c>
      <c r="F18" s="1">
        <f>6616+23866</f>
        <v>30482</v>
      </c>
      <c r="G18" s="1">
        <v>30482</v>
      </c>
      <c r="H18" s="1">
        <f>1163+21617</f>
        <v>22780</v>
      </c>
      <c r="I18" s="1">
        <f>1143+20480</f>
        <v>21623</v>
      </c>
      <c r="J18" s="15">
        <v>21094</v>
      </c>
      <c r="K18" s="15">
        <v>30584</v>
      </c>
      <c r="L18" s="15">
        <f>5059+28472</f>
        <v>33531</v>
      </c>
      <c r="M18" s="15">
        <f>6128+33186</f>
        <v>39314</v>
      </c>
      <c r="N18" s="15">
        <f>9653+35330</f>
        <v>44983</v>
      </c>
    </row>
    <row r="19" spans="1:14" ht="22.5" customHeight="1" x14ac:dyDescent="0.25">
      <c r="A19" s="31"/>
      <c r="B19" s="14" t="s">
        <v>18</v>
      </c>
      <c r="C19" s="1">
        <f>SUM(C12:C16,C18)</f>
        <v>118948200</v>
      </c>
      <c r="D19" s="1">
        <f t="shared" ref="D19:N19" si="1">SUM(D12:D16,D18)</f>
        <v>103641304</v>
      </c>
      <c r="E19" s="1">
        <f t="shared" si="1"/>
        <v>111884043</v>
      </c>
      <c r="F19" s="1">
        <f t="shared" si="1"/>
        <v>101723957</v>
      </c>
      <c r="G19" s="1">
        <f t="shared" si="1"/>
        <v>101723957</v>
      </c>
      <c r="H19" s="1">
        <f t="shared" si="1"/>
        <v>95254250</v>
      </c>
      <c r="I19" s="1">
        <f t="shared" si="1"/>
        <v>96651857</v>
      </c>
      <c r="J19" s="1">
        <f t="shared" si="1"/>
        <v>96434670</v>
      </c>
      <c r="K19" s="1">
        <f t="shared" si="1"/>
        <v>95561418</v>
      </c>
      <c r="L19" s="1">
        <f t="shared" si="1"/>
        <v>104830728</v>
      </c>
      <c r="M19" s="1">
        <f t="shared" si="1"/>
        <v>114192341</v>
      </c>
      <c r="N19" s="1">
        <f t="shared" si="1"/>
        <v>121677058</v>
      </c>
    </row>
    <row r="20" spans="1:14" ht="22.5" customHeight="1" x14ac:dyDescent="0.25">
      <c r="A20" s="26" t="s">
        <v>18</v>
      </c>
      <c r="B20" s="27"/>
      <c r="C20" s="8">
        <f>C10+C19</f>
        <v>119126362</v>
      </c>
      <c r="D20" s="8">
        <f t="shared" ref="D20:N20" si="2">D10+D19</f>
        <v>103791788</v>
      </c>
      <c r="E20" s="8">
        <f t="shared" si="2"/>
        <v>111998243</v>
      </c>
      <c r="F20" s="8">
        <f t="shared" si="2"/>
        <v>101796459</v>
      </c>
      <c r="G20" s="8">
        <f t="shared" si="2"/>
        <v>101796459</v>
      </c>
      <c r="H20" s="8">
        <f t="shared" si="2"/>
        <v>95305936</v>
      </c>
      <c r="I20" s="8">
        <f t="shared" si="2"/>
        <v>96711294</v>
      </c>
      <c r="J20" s="16">
        <f t="shared" si="2"/>
        <v>96483670</v>
      </c>
      <c r="K20" s="16">
        <f t="shared" si="2"/>
        <v>95628063</v>
      </c>
      <c r="L20" s="8">
        <f t="shared" si="2"/>
        <v>104915722.99600001</v>
      </c>
      <c r="M20" s="16">
        <f t="shared" si="2"/>
        <v>114297662</v>
      </c>
      <c r="N20" s="16">
        <f t="shared" si="2"/>
        <v>121829791</v>
      </c>
    </row>
    <row r="25" spans="1:14" ht="22.5" customHeight="1" x14ac:dyDescent="0.25">
      <c r="L25" s="17"/>
    </row>
  </sheetData>
  <mergeCells count="8">
    <mergeCell ref="A20:B20"/>
    <mergeCell ref="A2:N2"/>
    <mergeCell ref="A4:A10"/>
    <mergeCell ref="B4:N4"/>
    <mergeCell ref="B8:N8"/>
    <mergeCell ref="A11:A19"/>
    <mergeCell ref="B11:N11"/>
    <mergeCell ref="B17:N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zoomScale="60" zoomScaleNormal="60" workbookViewId="0">
      <selection activeCell="Q12" sqref="Q12"/>
    </sheetView>
  </sheetViews>
  <sheetFormatPr defaultColWidth="9.140625" defaultRowHeight="22.5" customHeight="1" x14ac:dyDescent="0.25"/>
  <cols>
    <col min="1" max="1" width="24.85546875" style="9" customWidth="1"/>
    <col min="2" max="2" width="14.85546875" style="9" customWidth="1"/>
    <col min="3" max="14" width="20.42578125" style="9" customWidth="1"/>
    <col min="15" max="15" width="9.140625" style="18" customWidth="1"/>
    <col min="16" max="16" width="9.140625" style="9"/>
    <col min="17" max="17" width="11.28515625" style="9" customWidth="1"/>
    <col min="18" max="16384" width="9.140625" style="9"/>
  </cols>
  <sheetData>
    <row r="2" spans="1:17" s="11" customFormat="1" ht="42.75" customHeight="1" x14ac:dyDescent="0.2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18"/>
      <c r="Q2" s="9"/>
    </row>
    <row r="3" spans="1:17" s="1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20"/>
      <c r="Q3" s="10"/>
    </row>
    <row r="4" spans="1:17" s="11" customFormat="1" ht="22.5" customHeight="1" x14ac:dyDescent="0.25">
      <c r="A4" s="29" t="s">
        <v>26</v>
      </c>
      <c r="B4" s="32" t="s">
        <v>20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18"/>
      <c r="Q4" s="18"/>
    </row>
    <row r="5" spans="1:17" ht="22.5" customHeight="1" x14ac:dyDescent="0.25">
      <c r="A5" s="30"/>
      <c r="B5" s="3" t="s">
        <v>15</v>
      </c>
      <c r="C5" s="15">
        <v>58074</v>
      </c>
      <c r="D5" s="15">
        <v>32880</v>
      </c>
      <c r="E5" s="15">
        <v>13588</v>
      </c>
      <c r="F5" s="15">
        <v>7544</v>
      </c>
      <c r="G5" s="15">
        <v>5515</v>
      </c>
      <c r="H5" s="15">
        <v>269</v>
      </c>
      <c r="I5" s="15">
        <v>0</v>
      </c>
      <c r="J5" s="15">
        <v>0</v>
      </c>
      <c r="K5" s="15">
        <v>2501</v>
      </c>
      <c r="L5" s="15">
        <v>3558</v>
      </c>
      <c r="M5" s="15">
        <v>23267</v>
      </c>
      <c r="N5" s="15">
        <v>52693</v>
      </c>
      <c r="O5" s="18">
        <f>N5/M5</f>
        <v>2.264709674646495</v>
      </c>
      <c r="P5" s="18"/>
      <c r="Q5" s="19">
        <f>AVERAGE(C5:O5)</f>
        <v>15376.251131513434</v>
      </c>
    </row>
    <row r="6" spans="1:17" ht="22.5" customHeight="1" x14ac:dyDescent="0.25">
      <c r="A6" s="30"/>
      <c r="B6" s="3" t="s">
        <v>16</v>
      </c>
      <c r="C6" s="15">
        <v>121855</v>
      </c>
      <c r="D6" s="15">
        <v>108132</v>
      </c>
      <c r="E6" s="15">
        <v>72080</v>
      </c>
      <c r="F6" s="15">
        <v>66258</v>
      </c>
      <c r="G6" s="15">
        <v>43129</v>
      </c>
      <c r="H6" s="15">
        <v>45151</v>
      </c>
      <c r="I6" s="15">
        <v>41199</v>
      </c>
      <c r="J6" s="15">
        <v>40612</v>
      </c>
      <c r="K6" s="15">
        <v>53422</v>
      </c>
      <c r="L6" s="15">
        <v>68334.73</v>
      </c>
      <c r="M6" s="15">
        <v>72702</v>
      </c>
      <c r="N6" s="15">
        <v>97876</v>
      </c>
      <c r="O6" s="18">
        <f t="shared" ref="O6:O7" si="0">N6/M6</f>
        <v>1.3462628263321503</v>
      </c>
      <c r="P6" s="18"/>
      <c r="Q6" s="19">
        <f t="shared" ref="Q6:Q18" si="1">AVERAGE(C6:N6)</f>
        <v>69229.227499999994</v>
      </c>
    </row>
    <row r="7" spans="1:17" ht="22.5" customHeight="1" x14ac:dyDescent="0.25">
      <c r="A7" s="30"/>
      <c r="B7" s="3" t="s">
        <v>17</v>
      </c>
      <c r="C7" s="15">
        <v>18275</v>
      </c>
      <c r="D7" s="15">
        <v>16890</v>
      </c>
      <c r="E7" s="15">
        <v>12600</v>
      </c>
      <c r="F7" s="15">
        <v>11745</v>
      </c>
      <c r="G7" s="15">
        <v>13900</v>
      </c>
      <c r="H7" s="15">
        <v>14200</v>
      </c>
      <c r="I7" s="15">
        <v>10960</v>
      </c>
      <c r="J7" s="15">
        <v>9120</v>
      </c>
      <c r="K7" s="15">
        <v>914</v>
      </c>
      <c r="L7" s="15">
        <v>23760</v>
      </c>
      <c r="M7" s="15">
        <v>26660</v>
      </c>
      <c r="N7" s="15">
        <v>18525</v>
      </c>
      <c r="O7" s="18">
        <f t="shared" si="0"/>
        <v>0.69486121530382594</v>
      </c>
      <c r="P7" s="18"/>
      <c r="Q7" s="19">
        <f t="shared" si="1"/>
        <v>14795.75</v>
      </c>
    </row>
    <row r="8" spans="1:17" ht="22.5" customHeight="1" x14ac:dyDescent="0.25">
      <c r="A8" s="30"/>
      <c r="B8" s="32" t="s">
        <v>21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5"/>
      <c r="P8" s="18"/>
      <c r="Q8" s="19"/>
    </row>
    <row r="9" spans="1:17" ht="22.5" customHeight="1" x14ac:dyDescent="0.25">
      <c r="A9" s="30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P9" s="18"/>
      <c r="Q9" s="19"/>
    </row>
    <row r="10" spans="1:17" ht="22.5" customHeight="1" x14ac:dyDescent="0.25">
      <c r="A10" s="31"/>
      <c r="B10" s="4" t="s">
        <v>18</v>
      </c>
      <c r="C10" s="8">
        <f t="shared" ref="C10:N10" si="2">SUM(C5:C7,C9)</f>
        <v>198204</v>
      </c>
      <c r="D10" s="8">
        <f t="shared" si="2"/>
        <v>157902</v>
      </c>
      <c r="E10" s="8">
        <f t="shared" si="2"/>
        <v>98268</v>
      </c>
      <c r="F10" s="8">
        <f t="shared" si="2"/>
        <v>85547</v>
      </c>
      <c r="G10" s="8">
        <f t="shared" si="2"/>
        <v>62544</v>
      </c>
      <c r="H10" s="8">
        <f t="shared" si="2"/>
        <v>59620</v>
      </c>
      <c r="I10" s="8">
        <f t="shared" si="2"/>
        <v>52159</v>
      </c>
      <c r="J10" s="8">
        <f t="shared" si="2"/>
        <v>49732</v>
      </c>
      <c r="K10" s="8">
        <f t="shared" si="2"/>
        <v>56837</v>
      </c>
      <c r="L10" s="8">
        <f t="shared" si="2"/>
        <v>95652.73</v>
      </c>
      <c r="M10" s="8">
        <f t="shared" si="2"/>
        <v>122629</v>
      </c>
      <c r="N10" s="8">
        <f t="shared" si="2"/>
        <v>169094</v>
      </c>
      <c r="P10" s="18"/>
      <c r="Q10" s="19"/>
    </row>
    <row r="11" spans="1:17" ht="22.5" customHeight="1" x14ac:dyDescent="0.25">
      <c r="A11" s="29" t="s">
        <v>28</v>
      </c>
      <c r="B11" s="32" t="s">
        <v>20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  <c r="P11" s="18"/>
      <c r="Q11" s="19"/>
    </row>
    <row r="12" spans="1:17" ht="22.5" customHeight="1" x14ac:dyDescent="0.25">
      <c r="A12" s="30"/>
      <c r="B12" s="13" t="s">
        <v>19</v>
      </c>
      <c r="C12" s="15">
        <v>89916706</v>
      </c>
      <c r="D12" s="15">
        <v>77824415</v>
      </c>
      <c r="E12" s="15">
        <v>84624239</v>
      </c>
      <c r="F12" s="15">
        <v>78298164</v>
      </c>
      <c r="G12" s="15">
        <v>75955167</v>
      </c>
      <c r="H12" s="15">
        <v>72387928</v>
      </c>
      <c r="I12" s="15">
        <v>72230952</v>
      </c>
      <c r="J12" s="15">
        <v>72172022</v>
      </c>
      <c r="K12" s="15">
        <v>71366821</v>
      </c>
      <c r="L12" s="15">
        <f>77449885+69050</f>
        <v>77518935</v>
      </c>
      <c r="M12" s="15">
        <v>81933301</v>
      </c>
      <c r="N12" s="15">
        <v>84492372</v>
      </c>
      <c r="O12" s="18">
        <f t="shared" ref="O12:O16" si="3">N12/M12</f>
        <v>1.0312335884038164</v>
      </c>
      <c r="P12" s="18"/>
      <c r="Q12" s="19">
        <f t="shared" si="1"/>
        <v>78226751.833333328</v>
      </c>
    </row>
    <row r="13" spans="1:17" ht="22.5" customHeight="1" x14ac:dyDescent="0.25">
      <c r="A13" s="30"/>
      <c r="B13" s="13" t="s">
        <v>14</v>
      </c>
      <c r="C13" s="15">
        <v>31110971</v>
      </c>
      <c r="D13" s="15">
        <v>26930817</v>
      </c>
      <c r="E13" s="15">
        <v>29138790</v>
      </c>
      <c r="F13" s="15">
        <f>27276903+53309</f>
        <v>27330212</v>
      </c>
      <c r="G13" s="15">
        <f>26075514+46099</f>
        <v>26121613</v>
      </c>
      <c r="H13" s="15">
        <f>25395370+58428</f>
        <v>25453798</v>
      </c>
      <c r="I13" s="15">
        <f>25006720+60192</f>
        <v>25066912</v>
      </c>
      <c r="J13" s="15">
        <f>24381604+51249</f>
        <v>24432853</v>
      </c>
      <c r="K13" s="15">
        <f>24500651+64267</f>
        <v>24564918</v>
      </c>
      <c r="L13" s="15">
        <v>27448658</v>
      </c>
      <c r="M13" s="15">
        <f>29336713+57988</f>
        <v>29394701</v>
      </c>
      <c r="N13" s="15">
        <f>31079843+63823</f>
        <v>31143666</v>
      </c>
      <c r="O13" s="18">
        <f t="shared" si="3"/>
        <v>1.0594993294879917</v>
      </c>
      <c r="P13" s="18"/>
      <c r="Q13" s="19">
        <f t="shared" si="1"/>
        <v>27344825.75</v>
      </c>
    </row>
    <row r="14" spans="1:17" ht="22.5" customHeight="1" x14ac:dyDescent="0.25">
      <c r="A14" s="30"/>
      <c r="B14" s="13" t="s">
        <v>15</v>
      </c>
      <c r="C14" s="15">
        <v>12232</v>
      </c>
      <c r="D14" s="15">
        <v>11347</v>
      </c>
      <c r="E14" s="15">
        <v>18986</v>
      </c>
      <c r="F14" s="15">
        <v>32756</v>
      </c>
      <c r="G14" s="15">
        <v>44525</v>
      </c>
      <c r="H14" s="15">
        <v>51067</v>
      </c>
      <c r="I14" s="15">
        <v>17441</v>
      </c>
      <c r="J14" s="15">
        <v>16436</v>
      </c>
      <c r="K14" s="15">
        <v>123729</v>
      </c>
      <c r="L14" s="15">
        <v>35902</v>
      </c>
      <c r="M14" s="15">
        <v>18951</v>
      </c>
      <c r="N14" s="15">
        <v>28492</v>
      </c>
      <c r="O14" s="18">
        <f t="shared" si="3"/>
        <v>1.5034562819903963</v>
      </c>
      <c r="P14" s="18"/>
      <c r="Q14" s="19">
        <f t="shared" si="1"/>
        <v>34322</v>
      </c>
    </row>
    <row r="15" spans="1:17" ht="22.5" customHeight="1" x14ac:dyDescent="0.25">
      <c r="A15" s="30"/>
      <c r="B15" s="13" t="s">
        <v>16</v>
      </c>
      <c r="C15" s="15">
        <f>467506+335748</f>
        <v>803254</v>
      </c>
      <c r="D15" s="15">
        <f>403274+318992</f>
        <v>722266</v>
      </c>
      <c r="E15" s="15">
        <f>330678+223843</f>
        <v>554521</v>
      </c>
      <c r="F15" s="15">
        <f>242710+200079</f>
        <v>442789</v>
      </c>
      <c r="G15" s="15">
        <v>285875</v>
      </c>
      <c r="H15" s="1">
        <f>194515+137937</f>
        <v>332452</v>
      </c>
      <c r="I15" s="1">
        <f>199481+164514</f>
        <v>363995</v>
      </c>
      <c r="J15" s="15">
        <f>204557+144564</f>
        <v>349121</v>
      </c>
      <c r="K15" s="15">
        <f>114092+268617</f>
        <v>382709</v>
      </c>
      <c r="L15" s="15">
        <v>519517</v>
      </c>
      <c r="M15" s="15">
        <v>739674</v>
      </c>
      <c r="N15" s="15">
        <f>360399+58092+486817</f>
        <v>905308</v>
      </c>
      <c r="O15" s="18">
        <f t="shared" si="3"/>
        <v>1.2239283792589708</v>
      </c>
      <c r="P15" s="18"/>
      <c r="Q15" s="19">
        <f t="shared" si="1"/>
        <v>533456.75</v>
      </c>
    </row>
    <row r="16" spans="1:17" ht="22.5" customHeight="1" x14ac:dyDescent="0.25">
      <c r="A16" s="30"/>
      <c r="B16" s="13" t="s">
        <v>17</v>
      </c>
      <c r="C16" s="15">
        <v>281985</v>
      </c>
      <c r="D16" s="15">
        <v>266818</v>
      </c>
      <c r="E16" s="15">
        <v>223006</v>
      </c>
      <c r="F16" s="15">
        <v>216329</v>
      </c>
      <c r="G16" s="15">
        <v>167546</v>
      </c>
      <c r="H16" s="1">
        <v>122751</v>
      </c>
      <c r="I16" s="1">
        <v>127188</v>
      </c>
      <c r="J16" s="15">
        <v>107509</v>
      </c>
      <c r="K16" s="15">
        <v>129568</v>
      </c>
      <c r="L16" s="15">
        <v>155756</v>
      </c>
      <c r="M16" s="15">
        <v>216636</v>
      </c>
      <c r="N16" s="15">
        <v>249104</v>
      </c>
      <c r="O16" s="18">
        <f t="shared" si="3"/>
        <v>1.1498735205598332</v>
      </c>
      <c r="P16" s="18"/>
      <c r="Q16" s="19">
        <f t="shared" si="1"/>
        <v>188683</v>
      </c>
    </row>
    <row r="17" spans="1:17" ht="22.5" customHeight="1" x14ac:dyDescent="0.25">
      <c r="A17" s="30"/>
      <c r="B17" s="24" t="s">
        <v>21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  <c r="P17" s="18"/>
      <c r="Q17" s="19"/>
    </row>
    <row r="18" spans="1:17" ht="22.5" customHeight="1" x14ac:dyDescent="0.25">
      <c r="A18" s="30"/>
      <c r="B18" s="13"/>
      <c r="C18" s="1">
        <f>10034+36930</f>
        <v>46964</v>
      </c>
      <c r="D18" s="1">
        <f>8611+35662</f>
        <v>44273</v>
      </c>
      <c r="E18" s="1">
        <f>9112+23996</f>
        <v>33108</v>
      </c>
      <c r="F18" s="1">
        <f>7211+26790</f>
        <v>34001</v>
      </c>
      <c r="G18" s="1">
        <v>27527</v>
      </c>
      <c r="H18" s="1">
        <f>1516+27831</f>
        <v>29347</v>
      </c>
      <c r="I18" s="1">
        <f>1171+21930</f>
        <v>23101</v>
      </c>
      <c r="J18" s="15">
        <f>966+24208</f>
        <v>25174</v>
      </c>
      <c r="K18" s="15">
        <f>2010+31627</f>
        <v>33637</v>
      </c>
      <c r="L18" s="15">
        <v>36974</v>
      </c>
      <c r="M18" s="15">
        <v>42387</v>
      </c>
      <c r="N18" s="15">
        <f>10790+35744</f>
        <v>46534</v>
      </c>
      <c r="O18" s="18">
        <f>N18/M18</f>
        <v>1.0978366008445986</v>
      </c>
      <c r="P18" s="18"/>
      <c r="Q18" s="19">
        <f t="shared" si="1"/>
        <v>35252.25</v>
      </c>
    </row>
    <row r="19" spans="1:17" ht="22.5" customHeight="1" x14ac:dyDescent="0.25">
      <c r="A19" s="31"/>
      <c r="B19" s="14" t="s">
        <v>18</v>
      </c>
      <c r="C19" s="8">
        <f>SUM(C12:C16,C18)</f>
        <v>122172112</v>
      </c>
      <c r="D19" s="8">
        <f t="shared" ref="D19:N19" si="4">SUM(D12:D16,D18)</f>
        <v>105799936</v>
      </c>
      <c r="E19" s="8">
        <f t="shared" si="4"/>
        <v>114592650</v>
      </c>
      <c r="F19" s="8">
        <f t="shared" si="4"/>
        <v>106354251</v>
      </c>
      <c r="G19" s="8">
        <f t="shared" si="4"/>
        <v>102602253</v>
      </c>
      <c r="H19" s="8">
        <f t="shared" si="4"/>
        <v>98377343</v>
      </c>
      <c r="I19" s="8">
        <f t="shared" si="4"/>
        <v>97829589</v>
      </c>
      <c r="J19" s="8">
        <f t="shared" si="4"/>
        <v>97103115</v>
      </c>
      <c r="K19" s="8">
        <f t="shared" si="4"/>
        <v>96601382</v>
      </c>
      <c r="L19" s="8">
        <f t="shared" si="4"/>
        <v>105715742</v>
      </c>
      <c r="M19" s="8">
        <f t="shared" si="4"/>
        <v>112345650</v>
      </c>
      <c r="N19" s="8">
        <f t="shared" si="4"/>
        <v>116865476</v>
      </c>
      <c r="Q19" s="18"/>
    </row>
    <row r="20" spans="1:17" ht="22.5" customHeight="1" x14ac:dyDescent="0.25">
      <c r="A20" s="26" t="s">
        <v>18</v>
      </c>
      <c r="B20" s="27"/>
      <c r="C20" s="8">
        <f>C10+C19</f>
        <v>122370316</v>
      </c>
      <c r="D20" s="8">
        <f t="shared" ref="D20:N20" si="5">D10+D19</f>
        <v>105957838</v>
      </c>
      <c r="E20" s="8">
        <f t="shared" si="5"/>
        <v>114690918</v>
      </c>
      <c r="F20" s="8">
        <f t="shared" si="5"/>
        <v>106439798</v>
      </c>
      <c r="G20" s="8">
        <f t="shared" si="5"/>
        <v>102664797</v>
      </c>
      <c r="H20" s="8">
        <f t="shared" si="5"/>
        <v>98436963</v>
      </c>
      <c r="I20" s="8">
        <f t="shared" si="5"/>
        <v>97881748</v>
      </c>
      <c r="J20" s="16">
        <f t="shared" si="5"/>
        <v>97152847</v>
      </c>
      <c r="K20" s="16">
        <f t="shared" si="5"/>
        <v>96658219</v>
      </c>
      <c r="L20" s="8">
        <f t="shared" si="5"/>
        <v>105811394.73</v>
      </c>
      <c r="M20" s="16">
        <f t="shared" si="5"/>
        <v>112468279</v>
      </c>
      <c r="N20" s="16">
        <f t="shared" si="5"/>
        <v>117034570</v>
      </c>
      <c r="Q20" s="18"/>
    </row>
    <row r="25" spans="1:17" ht="22.5" customHeight="1" x14ac:dyDescent="0.25">
      <c r="L25" s="17"/>
    </row>
  </sheetData>
  <mergeCells count="8">
    <mergeCell ref="A20:B20"/>
    <mergeCell ref="A2:N2"/>
    <mergeCell ref="A4:A10"/>
    <mergeCell ref="B4:N4"/>
    <mergeCell ref="B8:N8"/>
    <mergeCell ref="A11:A19"/>
    <mergeCell ref="B11:N11"/>
    <mergeCell ref="B17:N1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5"/>
  <sheetViews>
    <sheetView zoomScale="70" zoomScaleNormal="70" workbookViewId="0">
      <selection activeCell="V12" sqref="V12:V13"/>
    </sheetView>
  </sheetViews>
  <sheetFormatPr defaultColWidth="9.140625" defaultRowHeight="22.5" customHeight="1" x14ac:dyDescent="0.25"/>
  <cols>
    <col min="1" max="1" width="24.85546875" style="9" customWidth="1"/>
    <col min="2" max="2" width="14.85546875" style="9" customWidth="1"/>
    <col min="3" max="6" width="20.42578125" style="9" customWidth="1"/>
    <col min="7" max="7" width="20.42578125" style="9" hidden="1" customWidth="1"/>
    <col min="8" max="8" width="20.42578125" style="9" customWidth="1"/>
    <col min="9" max="9" width="20.42578125" style="9" hidden="1" customWidth="1"/>
    <col min="10" max="10" width="20.42578125" style="9" customWidth="1"/>
    <col min="11" max="11" width="20.42578125" style="9" hidden="1" customWidth="1"/>
    <col min="12" max="12" width="20.42578125" style="9" customWidth="1"/>
    <col min="13" max="13" width="20.42578125" style="9" hidden="1" customWidth="1"/>
    <col min="14" max="15" width="20.42578125" style="9" customWidth="1"/>
    <col min="16" max="16" width="20.42578125" style="9" hidden="1" customWidth="1"/>
    <col min="17" max="17" width="20.42578125" style="9" customWidth="1"/>
    <col min="18" max="18" width="20.42578125" style="9" hidden="1" customWidth="1"/>
    <col min="19" max="19" width="20.42578125" style="9" customWidth="1"/>
    <col min="20" max="20" width="20.42578125" style="9" hidden="1" customWidth="1"/>
    <col min="21" max="21" width="20.42578125" style="9" customWidth="1"/>
    <col min="22" max="22" width="9.140625" style="18"/>
    <col min="23" max="16384" width="9.140625" style="9"/>
  </cols>
  <sheetData>
    <row r="2" spans="1:22" s="11" customFormat="1" ht="42.75" customHeight="1" x14ac:dyDescent="0.25">
      <c r="A2" s="28" t="s">
        <v>32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18"/>
    </row>
    <row r="3" spans="1:22" s="1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/>
      <c r="H3" s="7" t="s">
        <v>6</v>
      </c>
      <c r="I3" s="7"/>
      <c r="J3" s="7" t="s">
        <v>7</v>
      </c>
      <c r="K3" s="7"/>
      <c r="L3" s="7" t="s">
        <v>8</v>
      </c>
      <c r="M3" s="7"/>
      <c r="N3" s="7" t="s">
        <v>9</v>
      </c>
      <c r="O3" s="7" t="s">
        <v>10</v>
      </c>
      <c r="P3" s="7"/>
      <c r="Q3" s="7" t="s">
        <v>11</v>
      </c>
      <c r="R3" s="7"/>
      <c r="S3" s="7" t="s">
        <v>12</v>
      </c>
      <c r="T3" s="7"/>
      <c r="U3" s="7" t="s">
        <v>13</v>
      </c>
      <c r="V3" s="20"/>
    </row>
    <row r="4" spans="1:22" s="11" customFormat="1" ht="22.5" customHeight="1" x14ac:dyDescent="0.25">
      <c r="A4" s="29" t="s">
        <v>33</v>
      </c>
      <c r="B4" s="32" t="s">
        <v>20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5"/>
      <c r="V4" s="18"/>
    </row>
    <row r="5" spans="1:22" ht="22.5" customHeight="1" x14ac:dyDescent="0.25">
      <c r="A5" s="30"/>
      <c r="B5" s="3" t="s">
        <v>15</v>
      </c>
      <c r="C5" s="15">
        <v>72961</v>
      </c>
      <c r="D5" s="15">
        <v>54141</v>
      </c>
      <c r="E5" s="15">
        <v>27898</v>
      </c>
      <c r="F5" s="15">
        <v>8732</v>
      </c>
      <c r="G5" s="15">
        <v>0.73104453870625663</v>
      </c>
      <c r="H5" s="15">
        <v>3228</v>
      </c>
      <c r="I5" s="15">
        <v>4.8776065276518586E-2</v>
      </c>
      <c r="J5" s="15">
        <v>0</v>
      </c>
      <c r="K5" s="15">
        <v>0</v>
      </c>
      <c r="L5" s="15">
        <f>H5*K5</f>
        <v>0</v>
      </c>
      <c r="M5" s="15">
        <v>0</v>
      </c>
      <c r="N5" s="15">
        <v>0</v>
      </c>
      <c r="O5" s="15">
        <v>2405</v>
      </c>
      <c r="P5" s="15">
        <v>1.4226309476209515</v>
      </c>
      <c r="Q5" s="15">
        <v>7942</v>
      </c>
      <c r="R5" s="15">
        <v>6.5393479482855534</v>
      </c>
      <c r="S5" s="15">
        <v>11855</v>
      </c>
      <c r="T5" s="15">
        <v>2.264709674646495</v>
      </c>
      <c r="U5" s="15">
        <v>24224</v>
      </c>
      <c r="V5" s="18">
        <f>'2021'!C5/'2020'!U5</f>
        <v>1.3136558784676353</v>
      </c>
    </row>
    <row r="6" spans="1:22" ht="22.5" customHeight="1" x14ac:dyDescent="0.25">
      <c r="A6" s="30"/>
      <c r="B6" s="3" t="s">
        <v>16</v>
      </c>
      <c r="C6" s="15">
        <f>82729+35378</f>
        <v>118107</v>
      </c>
      <c r="D6" s="15">
        <f>55364+34692</f>
        <v>90056</v>
      </c>
      <c r="E6" s="15">
        <v>75108</v>
      </c>
      <c r="F6" s="15">
        <v>57157</v>
      </c>
      <c r="G6" s="15">
        <v>0.65092517130006944</v>
      </c>
      <c r="H6" s="15">
        <v>28990</v>
      </c>
      <c r="I6" s="15">
        <v>1.0468826079899836</v>
      </c>
      <c r="J6" s="15">
        <v>26477</v>
      </c>
      <c r="K6" s="15">
        <v>0.91247148457398508</v>
      </c>
      <c r="L6" s="15">
        <f>30038+323</f>
        <v>30361</v>
      </c>
      <c r="M6" s="15">
        <v>0.98575208136119807</v>
      </c>
      <c r="N6" s="15">
        <v>28896</v>
      </c>
      <c r="O6" s="15">
        <v>41069</v>
      </c>
      <c r="P6" s="15">
        <v>1.2791496012878589</v>
      </c>
      <c r="Q6" s="15">
        <v>58327.737999999998</v>
      </c>
      <c r="R6" s="15">
        <v>1.0639099620354102</v>
      </c>
      <c r="S6" s="15">
        <f>47100+24194</f>
        <v>71294</v>
      </c>
      <c r="T6" s="15">
        <v>1.3462628263321503</v>
      </c>
      <c r="U6" s="15">
        <v>103995</v>
      </c>
      <c r="V6" s="18">
        <f>'2021'!C6/'2020'!U6</f>
        <v>1.1252175585364681</v>
      </c>
    </row>
    <row r="7" spans="1:22" ht="22.5" customHeight="1" x14ac:dyDescent="0.25">
      <c r="A7" s="30"/>
      <c r="B7" s="3" t="s">
        <v>17</v>
      </c>
      <c r="C7" s="15">
        <v>22765</v>
      </c>
      <c r="D7" s="15">
        <v>13535</v>
      </c>
      <c r="E7" s="15">
        <v>7395</v>
      </c>
      <c r="F7" s="15">
        <v>5900</v>
      </c>
      <c r="G7" s="15">
        <v>1.1834823329076203</v>
      </c>
      <c r="H7" s="15">
        <v>5685</v>
      </c>
      <c r="I7" s="15">
        <v>1.0215827338129497</v>
      </c>
      <c r="J7" s="15">
        <v>5515</v>
      </c>
      <c r="K7" s="15">
        <v>0.77183098591549293</v>
      </c>
      <c r="L7" s="15">
        <v>6315</v>
      </c>
      <c r="M7" s="15">
        <v>0.83211678832116787</v>
      </c>
      <c r="N7" s="15">
        <v>6095</v>
      </c>
      <c r="O7" s="15">
        <v>6845</v>
      </c>
      <c r="P7" s="15">
        <v>25.995623632385119</v>
      </c>
      <c r="Q7" s="15">
        <v>7185</v>
      </c>
      <c r="R7" s="15">
        <v>1.122053872053872</v>
      </c>
      <c r="S7" s="15">
        <v>7945</v>
      </c>
      <c r="T7" s="15">
        <v>0.69486121530382594</v>
      </c>
      <c r="U7" s="15">
        <v>8445</v>
      </c>
      <c r="V7" s="18">
        <f>'2021'!C7/'2020'!U7</f>
        <v>0.92480757844878625</v>
      </c>
    </row>
    <row r="8" spans="1:22" ht="22.5" customHeight="1" x14ac:dyDescent="0.25">
      <c r="A8" s="30"/>
      <c r="B8" s="32" t="s">
        <v>21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5"/>
    </row>
    <row r="9" spans="1:22" ht="22.5" customHeight="1" x14ac:dyDescent="0.25">
      <c r="A9" s="30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2" ht="22.5" customHeight="1" x14ac:dyDescent="0.25">
      <c r="A10" s="31"/>
      <c r="B10" s="21" t="s">
        <v>18</v>
      </c>
      <c r="C10" s="16">
        <f t="shared" ref="C10:U10" si="0">SUM(C5:C7,C9)</f>
        <v>213833</v>
      </c>
      <c r="D10" s="16">
        <f t="shared" si="0"/>
        <v>157732</v>
      </c>
      <c r="E10" s="16">
        <f t="shared" si="0"/>
        <v>110401</v>
      </c>
      <c r="F10" s="16">
        <f t="shared" si="0"/>
        <v>71789</v>
      </c>
      <c r="G10" s="16"/>
      <c r="H10" s="16">
        <f t="shared" si="0"/>
        <v>37903</v>
      </c>
      <c r="I10" s="16"/>
      <c r="J10" s="16">
        <f t="shared" si="0"/>
        <v>31992</v>
      </c>
      <c r="K10" s="16"/>
      <c r="L10" s="16">
        <f t="shared" si="0"/>
        <v>36676</v>
      </c>
      <c r="M10" s="16"/>
      <c r="N10" s="16">
        <f t="shared" si="0"/>
        <v>34991</v>
      </c>
      <c r="O10" s="16">
        <f t="shared" si="0"/>
        <v>50319</v>
      </c>
      <c r="P10" s="16"/>
      <c r="Q10" s="16">
        <f t="shared" si="0"/>
        <v>73454.737999999998</v>
      </c>
      <c r="R10" s="16"/>
      <c r="S10" s="16">
        <f t="shared" si="0"/>
        <v>91094</v>
      </c>
      <c r="T10" s="16"/>
      <c r="U10" s="16">
        <f t="shared" si="0"/>
        <v>136664</v>
      </c>
    </row>
    <row r="11" spans="1:22" ht="22.5" customHeight="1" x14ac:dyDescent="0.25">
      <c r="A11" s="29" t="s">
        <v>34</v>
      </c>
      <c r="B11" s="33" t="s">
        <v>20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5"/>
    </row>
    <row r="12" spans="1:22" ht="22.5" customHeight="1" x14ac:dyDescent="0.25">
      <c r="A12" s="30"/>
      <c r="B12" s="22" t="s">
        <v>19</v>
      </c>
      <c r="C12" s="15">
        <v>89035068</v>
      </c>
      <c r="D12" s="15">
        <v>81306800</v>
      </c>
      <c r="E12" s="15">
        <v>83579162</v>
      </c>
      <c r="F12" s="15">
        <v>79296756</v>
      </c>
      <c r="G12" s="15">
        <v>0.97007596499963911</v>
      </c>
      <c r="H12" s="15">
        <v>76766629</v>
      </c>
      <c r="I12" s="15">
        <v>0.95303493967698072</v>
      </c>
      <c r="J12" s="15">
        <f>74802858+60964</f>
        <v>74863822</v>
      </c>
      <c r="K12" s="15">
        <v>0.99783146162161185</v>
      </c>
      <c r="L12" s="15">
        <v>78026229</v>
      </c>
      <c r="M12" s="15">
        <v>0.99918414476940576</v>
      </c>
      <c r="N12" s="15">
        <v>76801960</v>
      </c>
      <c r="O12" s="15">
        <v>75074781</v>
      </c>
      <c r="P12" s="15">
        <v>1.1173926165762085</v>
      </c>
      <c r="Q12" s="15">
        <v>81747925</v>
      </c>
      <c r="R12" s="15">
        <v>1.0569456481826021</v>
      </c>
      <c r="S12" s="15">
        <v>82281587</v>
      </c>
      <c r="T12" s="15">
        <v>1.0312335884038164</v>
      </c>
      <c r="U12" s="15">
        <v>86652234</v>
      </c>
      <c r="V12" s="18">
        <f>'2021'!C12/'2020'!U12</f>
        <v>1.0503298276187547</v>
      </c>
    </row>
    <row r="13" spans="1:22" ht="22.5" customHeight="1" x14ac:dyDescent="0.25">
      <c r="A13" s="30"/>
      <c r="B13" s="22" t="s">
        <v>14</v>
      </c>
      <c r="C13" s="15">
        <f>31760421+61694</f>
        <v>31822115</v>
      </c>
      <c r="D13" s="15">
        <f>54586+28757642</f>
        <v>28812228</v>
      </c>
      <c r="E13" s="15">
        <f>57675+29386809</f>
        <v>29444484</v>
      </c>
      <c r="F13" s="15">
        <f>27295708+57386</f>
        <v>27353094</v>
      </c>
      <c r="G13" s="15">
        <v>0.95577791346806973</v>
      </c>
      <c r="H13" s="15">
        <f>26443114+47367</f>
        <v>26490481</v>
      </c>
      <c r="I13" s="15">
        <v>0.97443438887177447</v>
      </c>
      <c r="J13" s="15">
        <v>25198951</v>
      </c>
      <c r="K13" s="15">
        <v>0.98480046081924588</v>
      </c>
      <c r="L13" s="15">
        <v>22577275</v>
      </c>
      <c r="M13" s="15">
        <v>0.97470534064985748</v>
      </c>
      <c r="N13" s="15">
        <v>22118227</v>
      </c>
      <c r="O13" s="15">
        <v>22291819</v>
      </c>
      <c r="P13" s="15">
        <v>1.0862041199789465</v>
      </c>
      <c r="Q13" s="15">
        <v>25531032</v>
      </c>
      <c r="R13" s="15">
        <v>1.0708975644638072</v>
      </c>
      <c r="S13" s="15">
        <v>26291297</v>
      </c>
      <c r="T13" s="15">
        <v>1.0594993294879917</v>
      </c>
      <c r="U13" s="15">
        <v>27798552</v>
      </c>
      <c r="V13" s="18">
        <f>'2021'!C13/'2020'!U13</f>
        <v>1.0136643807922081</v>
      </c>
    </row>
    <row r="14" spans="1:22" ht="22.5" customHeight="1" x14ac:dyDescent="0.25">
      <c r="A14" s="30"/>
      <c r="B14" s="22" t="s">
        <v>15</v>
      </c>
      <c r="C14" s="15">
        <v>24286</v>
      </c>
      <c r="D14" s="15">
        <v>23792</v>
      </c>
      <c r="E14" s="15">
        <v>31943</v>
      </c>
      <c r="F14" s="15">
        <v>124400</v>
      </c>
      <c r="G14" s="15">
        <v>1.3592929539626328</v>
      </c>
      <c r="H14" s="15">
        <v>175544</v>
      </c>
      <c r="I14" s="15">
        <v>1.14692869174621</v>
      </c>
      <c r="J14" s="15">
        <v>135085</v>
      </c>
      <c r="K14" s="15">
        <v>0.34153171323946974</v>
      </c>
      <c r="L14" s="15">
        <v>0</v>
      </c>
      <c r="M14" s="15">
        <v>0</v>
      </c>
      <c r="N14" s="15">
        <v>0</v>
      </c>
      <c r="O14" s="15">
        <v>0</v>
      </c>
      <c r="P14" s="15">
        <v>0.29016641207800919</v>
      </c>
      <c r="Q14" s="15">
        <f t="shared" ref="Q14:Q16" si="1">P14*O14</f>
        <v>0</v>
      </c>
      <c r="R14" s="15">
        <v>0.52785360147067018</v>
      </c>
      <c r="S14" s="15">
        <f t="shared" ref="S14:S16" si="2">Q14*R14</f>
        <v>0</v>
      </c>
      <c r="T14" s="15">
        <v>1.5034562819903963</v>
      </c>
      <c r="U14" s="15">
        <f t="shared" ref="U14:U16" si="3">S14*T14</f>
        <v>0</v>
      </c>
      <c r="V14" s="18" t="e">
        <f>'2021'!C14/'2020'!U14</f>
        <v>#DIV/0!</v>
      </c>
    </row>
    <row r="15" spans="1:22" ht="22.5" customHeight="1" x14ac:dyDescent="0.25">
      <c r="A15" s="30"/>
      <c r="B15" s="22" t="s">
        <v>16</v>
      </c>
      <c r="C15" s="15">
        <f>379905+63524+294169</f>
        <v>737598</v>
      </c>
      <c r="D15" s="15">
        <v>659917</v>
      </c>
      <c r="E15" s="15">
        <f>277892+44714+285251</f>
        <v>607857</v>
      </c>
      <c r="F15" s="15">
        <f>144269+34095+189212</f>
        <v>367576</v>
      </c>
      <c r="G15" s="15">
        <v>0.64562353626670943</v>
      </c>
      <c r="H15" s="15">
        <f>72822+29683+193602</f>
        <v>296107</v>
      </c>
      <c r="I15" s="15">
        <v>1.162927853082641</v>
      </c>
      <c r="J15" s="15">
        <f>54353+24535+165787</f>
        <v>244675</v>
      </c>
      <c r="K15" s="15">
        <v>1.0948798623560694</v>
      </c>
      <c r="L15" s="15">
        <v>0</v>
      </c>
      <c r="M15" s="15">
        <v>0</v>
      </c>
      <c r="N15" s="15">
        <v>0</v>
      </c>
      <c r="O15" s="15">
        <v>0</v>
      </c>
      <c r="P15" s="15">
        <v>1.3574726489316948</v>
      </c>
      <c r="Q15" s="15">
        <f t="shared" si="1"/>
        <v>0</v>
      </c>
      <c r="R15" s="15">
        <v>1.4237724655786048</v>
      </c>
      <c r="S15" s="15">
        <f t="shared" si="2"/>
        <v>0</v>
      </c>
      <c r="T15" s="15">
        <v>1.2239283792589708</v>
      </c>
      <c r="U15" s="15">
        <f t="shared" si="3"/>
        <v>0</v>
      </c>
      <c r="V15" s="18" t="e">
        <f>'2021'!C15/'2020'!U15</f>
        <v>#DIV/0!</v>
      </c>
    </row>
    <row r="16" spans="1:22" ht="22.5" customHeight="1" x14ac:dyDescent="0.25">
      <c r="A16" s="30"/>
      <c r="B16" s="13" t="s">
        <v>17</v>
      </c>
      <c r="C16" s="15">
        <v>247992</v>
      </c>
      <c r="D16" s="15">
        <v>236117</v>
      </c>
      <c r="E16" s="15">
        <v>166893</v>
      </c>
      <c r="F16" s="15">
        <v>142309</v>
      </c>
      <c r="G16" s="15">
        <v>0.77449625339182449</v>
      </c>
      <c r="H16" s="15">
        <v>117230</v>
      </c>
      <c r="I16" s="15">
        <v>0.73264058825635947</v>
      </c>
      <c r="J16" s="1">
        <v>107376</v>
      </c>
      <c r="K16" s="1">
        <v>1.0361463450399588</v>
      </c>
      <c r="L16" s="15">
        <v>0</v>
      </c>
      <c r="M16" s="15">
        <v>0</v>
      </c>
      <c r="N16" s="15">
        <v>0</v>
      </c>
      <c r="O16" s="15">
        <v>0</v>
      </c>
      <c r="P16" s="15">
        <v>1.2021178068658929</v>
      </c>
      <c r="Q16" s="15">
        <f t="shared" si="1"/>
        <v>0</v>
      </c>
      <c r="R16" s="15">
        <v>1.390867767533835</v>
      </c>
      <c r="S16" s="15">
        <f t="shared" si="2"/>
        <v>0</v>
      </c>
      <c r="T16" s="15">
        <v>1.1498735205598332</v>
      </c>
      <c r="U16" s="15">
        <f t="shared" si="3"/>
        <v>0</v>
      </c>
      <c r="V16" s="18" t="e">
        <f>'2021'!C16/'2020'!U16</f>
        <v>#DIV/0!</v>
      </c>
    </row>
    <row r="17" spans="1:22" ht="22.5" customHeight="1" x14ac:dyDescent="0.25">
      <c r="A17" s="30"/>
      <c r="B17" s="24" t="s">
        <v>21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5"/>
    </row>
    <row r="18" spans="1:22" ht="22.5" customHeight="1" x14ac:dyDescent="0.25">
      <c r="A18" s="30"/>
      <c r="B18" s="13"/>
      <c r="C18" s="1">
        <f>10981+33867</f>
        <v>44848</v>
      </c>
      <c r="D18" s="1">
        <v>39116</v>
      </c>
      <c r="E18" s="1">
        <f>11134+28825</f>
        <v>39959</v>
      </c>
      <c r="F18" s="1">
        <f>5919+25242</f>
        <v>31161</v>
      </c>
      <c r="G18" s="1">
        <v>0.80959383547542718</v>
      </c>
      <c r="H18" s="1">
        <f>4359+21699</f>
        <v>26058</v>
      </c>
      <c r="I18" s="1">
        <v>1.0661169034039306</v>
      </c>
      <c r="J18" s="1">
        <f>1486+24232</f>
        <v>25718</v>
      </c>
      <c r="K18" s="1">
        <v>0.78716734248815889</v>
      </c>
      <c r="L18" s="1">
        <f>J18*K18</f>
        <v>20244.369714110471</v>
      </c>
      <c r="M18" s="1">
        <v>1.0897363750486992</v>
      </c>
      <c r="N18" s="15">
        <f>L18*M18</f>
        <v>22061.026067400417</v>
      </c>
      <c r="O18" s="15"/>
      <c r="P18" s="15">
        <v>1.0992062312334632</v>
      </c>
      <c r="Q18" s="15">
        <f>P18*O18</f>
        <v>0</v>
      </c>
      <c r="R18" s="15">
        <v>1.146400173094607</v>
      </c>
      <c r="S18" s="15">
        <f>Q18*R18</f>
        <v>0</v>
      </c>
      <c r="T18" s="15">
        <v>1.0978366008445986</v>
      </c>
      <c r="U18" s="15">
        <f>S18*T18</f>
        <v>0</v>
      </c>
      <c r="V18" s="18" t="e">
        <f>'2021'!C18/'2020'!U18</f>
        <v>#DIV/0!</v>
      </c>
    </row>
    <row r="19" spans="1:22" ht="22.5" customHeight="1" x14ac:dyDescent="0.25">
      <c r="A19" s="31"/>
      <c r="B19" s="14" t="s">
        <v>18</v>
      </c>
      <c r="C19" s="8">
        <f>SUM(C12:C16,C18)</f>
        <v>121911907</v>
      </c>
      <c r="D19" s="8">
        <f t="shared" ref="D19:U19" si="4">SUM(D12:D16,D18)</f>
        <v>111077970</v>
      </c>
      <c r="E19" s="8">
        <f t="shared" si="4"/>
        <v>113870298</v>
      </c>
      <c r="F19" s="8">
        <f t="shared" si="4"/>
        <v>107315296</v>
      </c>
      <c r="G19" s="8"/>
      <c r="H19" s="8">
        <f t="shared" si="4"/>
        <v>103872049</v>
      </c>
      <c r="I19" s="8"/>
      <c r="J19" s="8">
        <f t="shared" si="4"/>
        <v>100575627</v>
      </c>
      <c r="K19" s="8"/>
      <c r="L19" s="8">
        <f t="shared" si="4"/>
        <v>100623748.36971411</v>
      </c>
      <c r="M19" s="8"/>
      <c r="N19" s="8">
        <f t="shared" si="4"/>
        <v>98942248.026067406</v>
      </c>
      <c r="O19" s="8">
        <f t="shared" si="4"/>
        <v>97366600</v>
      </c>
      <c r="P19" s="8"/>
      <c r="Q19" s="8">
        <f t="shared" si="4"/>
        <v>107278957</v>
      </c>
      <c r="R19" s="8"/>
      <c r="S19" s="8">
        <f t="shared" si="4"/>
        <v>108572884</v>
      </c>
      <c r="T19" s="8"/>
      <c r="U19" s="8">
        <f t="shared" si="4"/>
        <v>114450786</v>
      </c>
    </row>
    <row r="20" spans="1:22" ht="22.5" customHeight="1" x14ac:dyDescent="0.25">
      <c r="A20" s="26" t="s">
        <v>18</v>
      </c>
      <c r="B20" s="27"/>
      <c r="C20" s="8">
        <f>C10+C19</f>
        <v>122125740</v>
      </c>
      <c r="D20" s="8">
        <f t="shared" ref="D20:U20" si="5">D10+D19</f>
        <v>111235702</v>
      </c>
      <c r="E20" s="8">
        <f t="shared" si="5"/>
        <v>113980699</v>
      </c>
      <c r="F20" s="8">
        <f t="shared" si="5"/>
        <v>107387085</v>
      </c>
      <c r="G20" s="8"/>
      <c r="H20" s="8">
        <f t="shared" si="5"/>
        <v>103909952</v>
      </c>
      <c r="I20" s="8"/>
      <c r="J20" s="8">
        <f t="shared" si="5"/>
        <v>100607619</v>
      </c>
      <c r="K20" s="8"/>
      <c r="L20" s="8">
        <f t="shared" si="5"/>
        <v>100660424.36971411</v>
      </c>
      <c r="M20" s="8"/>
      <c r="N20" s="16">
        <f t="shared" si="5"/>
        <v>98977239.026067406</v>
      </c>
      <c r="O20" s="16">
        <f t="shared" si="5"/>
        <v>97416919</v>
      </c>
      <c r="P20" s="16"/>
      <c r="Q20" s="8">
        <f t="shared" si="5"/>
        <v>107352411.73800001</v>
      </c>
      <c r="R20" s="8"/>
      <c r="S20" s="16">
        <f t="shared" si="5"/>
        <v>108663978</v>
      </c>
      <c r="T20" s="16"/>
      <c r="U20" s="16">
        <f t="shared" si="5"/>
        <v>114587450</v>
      </c>
    </row>
    <row r="25" spans="1:22" ht="22.5" customHeight="1" x14ac:dyDescent="0.25">
      <c r="Q25" s="17"/>
      <c r="R25" s="17"/>
    </row>
  </sheetData>
  <mergeCells count="8">
    <mergeCell ref="A20:B20"/>
    <mergeCell ref="A2:U2"/>
    <mergeCell ref="A4:A10"/>
    <mergeCell ref="B4:U4"/>
    <mergeCell ref="B8:U8"/>
    <mergeCell ref="A11:A19"/>
    <mergeCell ref="B11:U11"/>
    <mergeCell ref="B17:U1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5"/>
  <sheetViews>
    <sheetView zoomScale="70" zoomScaleNormal="70" workbookViewId="0">
      <selection activeCell="AG12" sqref="AG12:AG13"/>
    </sheetView>
  </sheetViews>
  <sheetFormatPr defaultColWidth="9.140625" defaultRowHeight="22.5" customHeight="1" x14ac:dyDescent="0.25"/>
  <cols>
    <col min="1" max="1" width="24.85546875" style="9" customWidth="1"/>
    <col min="2" max="2" width="14.85546875" style="9" customWidth="1"/>
    <col min="3" max="3" width="20.42578125" style="9" customWidth="1"/>
    <col min="4" max="4" width="20.42578125" style="9" hidden="1" customWidth="1"/>
    <col min="5" max="5" width="20.42578125" style="9" customWidth="1"/>
    <col min="6" max="6" width="20.42578125" style="9" hidden="1" customWidth="1"/>
    <col min="7" max="7" width="20.42578125" style="9" customWidth="1"/>
    <col min="8" max="8" width="20.42578125" style="9" hidden="1" customWidth="1"/>
    <col min="9" max="9" width="20.42578125" style="9" customWidth="1"/>
    <col min="10" max="11" width="20.42578125" style="9" hidden="1" customWidth="1"/>
    <col min="12" max="12" width="20.42578125" style="9" customWidth="1"/>
    <col min="13" max="14" width="20.42578125" style="9" hidden="1" customWidth="1"/>
    <col min="15" max="15" width="20.42578125" style="9" customWidth="1"/>
    <col min="16" max="17" width="20.42578125" style="9" hidden="1" customWidth="1"/>
    <col min="18" max="18" width="20.42578125" style="9" customWidth="1"/>
    <col min="19" max="20" width="20.42578125" style="9" hidden="1" customWidth="1"/>
    <col min="21" max="21" width="20.42578125" style="9" customWidth="1"/>
    <col min="22" max="22" width="20.42578125" style="9" hidden="1" customWidth="1"/>
    <col min="23" max="23" width="20.42578125" style="9" customWidth="1"/>
    <col min="24" max="25" width="20.42578125" style="9" hidden="1" customWidth="1"/>
    <col min="26" max="26" width="20.42578125" style="9" customWidth="1"/>
    <col min="27" max="28" width="20.42578125" style="9" hidden="1" customWidth="1"/>
    <col min="29" max="29" width="20.42578125" style="9" customWidth="1"/>
    <col min="30" max="31" width="20.42578125" style="9" hidden="1" customWidth="1"/>
    <col min="32" max="32" width="20.42578125" style="9" customWidth="1"/>
    <col min="33" max="33" width="9.140625" style="18"/>
    <col min="34" max="16384" width="9.140625" style="9"/>
  </cols>
  <sheetData>
    <row r="2" spans="1:33" s="11" customFormat="1" ht="42.75" customHeight="1" x14ac:dyDescent="0.25">
      <c r="A2" s="28" t="s">
        <v>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18"/>
    </row>
    <row r="3" spans="1:33" s="12" customFormat="1" ht="33" customHeight="1" x14ac:dyDescent="0.25">
      <c r="A3" s="5" t="s">
        <v>0</v>
      </c>
      <c r="B3" s="6" t="s">
        <v>1</v>
      </c>
      <c r="C3" s="7" t="s">
        <v>2</v>
      </c>
      <c r="D3" s="7"/>
      <c r="E3" s="7" t="s">
        <v>3</v>
      </c>
      <c r="F3" s="7"/>
      <c r="G3" s="7" t="s">
        <v>4</v>
      </c>
      <c r="H3" s="7"/>
      <c r="I3" s="7" t="s">
        <v>5</v>
      </c>
      <c r="J3" s="7"/>
      <c r="K3" s="7"/>
      <c r="L3" s="7" t="s">
        <v>6</v>
      </c>
      <c r="M3" s="7"/>
      <c r="N3" s="7"/>
      <c r="O3" s="7" t="s">
        <v>7</v>
      </c>
      <c r="P3" s="7"/>
      <c r="Q3" s="7"/>
      <c r="R3" s="7" t="s">
        <v>8</v>
      </c>
      <c r="S3" s="7"/>
      <c r="T3" s="7"/>
      <c r="U3" s="7" t="s">
        <v>9</v>
      </c>
      <c r="V3" s="7"/>
      <c r="W3" s="7" t="s">
        <v>10</v>
      </c>
      <c r="X3" s="7"/>
      <c r="Y3" s="7"/>
      <c r="Z3" s="7" t="s">
        <v>11</v>
      </c>
      <c r="AA3" s="7"/>
      <c r="AB3" s="7"/>
      <c r="AC3" s="7" t="s">
        <v>12</v>
      </c>
      <c r="AD3" s="7"/>
      <c r="AE3" s="7"/>
      <c r="AF3" s="7" t="s">
        <v>13</v>
      </c>
      <c r="AG3" s="20"/>
    </row>
    <row r="4" spans="1:33" s="11" customFormat="1" ht="22.5" customHeight="1" x14ac:dyDescent="0.25">
      <c r="A4" s="29" t="s">
        <v>33</v>
      </c>
      <c r="B4" s="32" t="s">
        <v>20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5"/>
      <c r="AG4" s="18"/>
    </row>
    <row r="5" spans="1:33" ht="22.5" customHeight="1" x14ac:dyDescent="0.25">
      <c r="A5" s="30"/>
      <c r="B5" s="3" t="s">
        <v>15</v>
      </c>
      <c r="C5" s="15">
        <v>31822</v>
      </c>
      <c r="D5" s="15">
        <v>0.74205397404092599</v>
      </c>
      <c r="E5" s="15">
        <v>13165</v>
      </c>
      <c r="F5" s="15">
        <v>0.51528416541992206</v>
      </c>
      <c r="G5" s="15">
        <v>10022</v>
      </c>
      <c r="H5" s="15">
        <v>0.3129973474801061</v>
      </c>
      <c r="I5" s="15">
        <v>7839</v>
      </c>
      <c r="J5" s="15"/>
      <c r="K5" s="15">
        <v>0.36967475950526796</v>
      </c>
      <c r="L5" s="15">
        <v>3521</v>
      </c>
      <c r="M5" s="15"/>
      <c r="N5" s="15"/>
      <c r="O5" s="15">
        <v>0</v>
      </c>
      <c r="P5" s="15"/>
      <c r="Q5" s="15"/>
      <c r="R5" s="15">
        <v>0</v>
      </c>
      <c r="S5" s="15"/>
      <c r="T5" s="15"/>
      <c r="U5" s="15">
        <v>0</v>
      </c>
      <c r="V5" s="15"/>
      <c r="W5" s="15">
        <v>1325</v>
      </c>
      <c r="X5" s="15"/>
      <c r="Y5" s="15">
        <v>3.3022869022869021</v>
      </c>
      <c r="Z5" s="15">
        <v>7781</v>
      </c>
      <c r="AA5" s="15"/>
      <c r="AB5" s="15">
        <v>1.4926970536388819</v>
      </c>
      <c r="AC5" s="15">
        <v>9138</v>
      </c>
      <c r="AD5" s="15"/>
      <c r="AE5" s="15">
        <v>2.0433572332349219</v>
      </c>
      <c r="AF5" s="15">
        <v>30529</v>
      </c>
      <c r="AG5" s="18">
        <f>'2022'!D5/'2021'!AF5</f>
        <v>3.4014871106161353</v>
      </c>
    </row>
    <row r="6" spans="1:33" ht="22.5" customHeight="1" x14ac:dyDescent="0.25">
      <c r="A6" s="30"/>
      <c r="B6" s="3" t="s">
        <v>16</v>
      </c>
      <c r="C6" s="15">
        <v>117017</v>
      </c>
      <c r="D6" s="15">
        <v>0.76249502569703742</v>
      </c>
      <c r="E6" s="15">
        <v>87448</v>
      </c>
      <c r="F6" s="15">
        <v>0.83401439104557162</v>
      </c>
      <c r="G6" s="15">
        <v>84387</v>
      </c>
      <c r="H6" s="15">
        <v>0.76099749693774299</v>
      </c>
      <c r="I6" s="15">
        <v>59598.536</v>
      </c>
      <c r="J6" s="15"/>
      <c r="K6" s="15">
        <v>0.50719946813163741</v>
      </c>
      <c r="L6" s="15">
        <f>37585+3046</f>
        <v>40631</v>
      </c>
      <c r="M6" s="15"/>
      <c r="N6" s="15">
        <v>0.91331493618489135</v>
      </c>
      <c r="O6" s="15">
        <v>36441</v>
      </c>
      <c r="P6" s="15"/>
      <c r="Q6" s="15">
        <v>1.1466933564980928</v>
      </c>
      <c r="R6" s="15">
        <v>34410</v>
      </c>
      <c r="S6" s="15"/>
      <c r="T6" s="15">
        <v>0.95174730740094204</v>
      </c>
      <c r="U6" s="15">
        <f>32980+812</f>
        <v>33792</v>
      </c>
      <c r="V6" s="15">
        <v>1.4212693798449612</v>
      </c>
      <c r="W6" s="15">
        <v>40825</v>
      </c>
      <c r="X6" s="15"/>
      <c r="Y6" s="15">
        <v>1.4202376001363559</v>
      </c>
      <c r="Z6" s="15">
        <v>62713</v>
      </c>
      <c r="AA6" s="15"/>
      <c r="AB6" s="15">
        <v>1.2223001001684655</v>
      </c>
      <c r="AC6" s="15">
        <v>75857</v>
      </c>
      <c r="AD6" s="15"/>
      <c r="AE6" s="15">
        <v>1.4586781496339103</v>
      </c>
      <c r="AF6" s="15">
        <v>98195</v>
      </c>
      <c r="AG6" s="18">
        <f>'2022'!D6/'2021'!AF6</f>
        <v>0.75012984367839508</v>
      </c>
    </row>
    <row r="7" spans="1:33" ht="22.5" customHeight="1" x14ac:dyDescent="0.25">
      <c r="A7" s="30"/>
      <c r="B7" s="3" t="s">
        <v>17</v>
      </c>
      <c r="C7" s="15">
        <v>7810</v>
      </c>
      <c r="D7" s="15">
        <v>0.5945530419503624</v>
      </c>
      <c r="E7" s="15">
        <v>8970</v>
      </c>
      <c r="F7" s="15">
        <v>0.54636128555596597</v>
      </c>
      <c r="G7" s="15">
        <v>7855</v>
      </c>
      <c r="H7" s="15">
        <v>0.79783637592968226</v>
      </c>
      <c r="I7" s="15">
        <v>6660</v>
      </c>
      <c r="J7" s="15"/>
      <c r="K7" s="15">
        <v>0.96355932203389827</v>
      </c>
      <c r="L7" s="15">
        <v>6710</v>
      </c>
      <c r="M7" s="15"/>
      <c r="N7" s="15">
        <v>0.97009674582233951</v>
      </c>
      <c r="O7" s="15">
        <v>6140</v>
      </c>
      <c r="P7" s="15"/>
      <c r="Q7" s="15">
        <v>1.14505893019039</v>
      </c>
      <c r="R7" s="15">
        <v>6620</v>
      </c>
      <c r="S7" s="15"/>
      <c r="T7" s="15">
        <v>0.96516231195566116</v>
      </c>
      <c r="U7" s="15">
        <v>6970</v>
      </c>
      <c r="V7" s="15">
        <v>1.1230516817063168</v>
      </c>
      <c r="W7" s="15">
        <v>7270</v>
      </c>
      <c r="X7" s="15"/>
      <c r="Y7" s="15">
        <v>1.0496712929145362</v>
      </c>
      <c r="Z7" s="15">
        <v>7355</v>
      </c>
      <c r="AA7" s="15"/>
      <c r="AB7" s="15">
        <v>1.1057759220598469</v>
      </c>
      <c r="AC7" s="15">
        <v>7765</v>
      </c>
      <c r="AD7" s="15"/>
      <c r="AE7" s="15">
        <v>1.0629326620516049</v>
      </c>
      <c r="AF7" s="15">
        <v>9385</v>
      </c>
      <c r="AG7" s="18">
        <f>'2022'!D7/'2021'!AF7</f>
        <v>0.99840170484816193</v>
      </c>
    </row>
    <row r="8" spans="1:33" ht="22.5" customHeight="1" x14ac:dyDescent="0.25">
      <c r="A8" s="30"/>
      <c r="B8" s="32" t="s">
        <v>21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5"/>
    </row>
    <row r="9" spans="1:33" ht="22.5" customHeight="1" x14ac:dyDescent="0.25">
      <c r="A9" s="30"/>
      <c r="B9" s="2"/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/>
      <c r="Q9" s="1">
        <v>0</v>
      </c>
      <c r="R9" s="1">
        <f>O9*Q9</f>
        <v>0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3" ht="22.5" customHeight="1" x14ac:dyDescent="0.25">
      <c r="A10" s="31"/>
      <c r="B10" s="21" t="s">
        <v>18</v>
      </c>
      <c r="C10" s="16">
        <f t="shared" ref="C10:AF10" si="0">SUM(C5:C7,C9)</f>
        <v>156649</v>
      </c>
      <c r="D10" s="16"/>
      <c r="E10" s="16">
        <f t="shared" si="0"/>
        <v>109583</v>
      </c>
      <c r="F10" s="16"/>
      <c r="G10" s="16">
        <f t="shared" si="0"/>
        <v>102264</v>
      </c>
      <c r="H10" s="16"/>
      <c r="I10" s="16">
        <f t="shared" si="0"/>
        <v>74097.535999999993</v>
      </c>
      <c r="J10" s="16"/>
      <c r="K10" s="16"/>
      <c r="L10" s="16">
        <f t="shared" si="0"/>
        <v>50862</v>
      </c>
      <c r="M10" s="16"/>
      <c r="N10" s="16"/>
      <c r="O10" s="16">
        <f t="shared" si="0"/>
        <v>42581</v>
      </c>
      <c r="P10" s="16"/>
      <c r="Q10" s="16"/>
      <c r="R10" s="16">
        <f t="shared" si="0"/>
        <v>41030</v>
      </c>
      <c r="S10" s="16"/>
      <c r="T10" s="16"/>
      <c r="U10" s="16">
        <f t="shared" si="0"/>
        <v>40762</v>
      </c>
      <c r="V10" s="16"/>
      <c r="W10" s="16">
        <f t="shared" si="0"/>
        <v>49420</v>
      </c>
      <c r="X10" s="16"/>
      <c r="Y10" s="16"/>
      <c r="Z10" s="16">
        <f t="shared" si="0"/>
        <v>77849</v>
      </c>
      <c r="AA10" s="16"/>
      <c r="AB10" s="16"/>
      <c r="AC10" s="16">
        <f t="shared" si="0"/>
        <v>92760</v>
      </c>
      <c r="AD10" s="16"/>
      <c r="AE10" s="16"/>
      <c r="AF10" s="16">
        <f t="shared" si="0"/>
        <v>138109</v>
      </c>
    </row>
    <row r="11" spans="1:33" ht="22.5" customHeight="1" x14ac:dyDescent="0.25">
      <c r="A11" s="29" t="s">
        <v>34</v>
      </c>
      <c r="B11" s="33" t="s">
        <v>20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5"/>
    </row>
    <row r="12" spans="1:33" ht="22.5" customHeight="1" x14ac:dyDescent="0.25">
      <c r="A12" s="30"/>
      <c r="B12" s="22" t="s">
        <v>19</v>
      </c>
      <c r="C12" s="15">
        <v>91013426</v>
      </c>
      <c r="D12" s="15">
        <v>0.91319972934709281</v>
      </c>
      <c r="E12" s="15">
        <v>78195942</v>
      </c>
      <c r="F12" s="15">
        <v>1.0279479945096843</v>
      </c>
      <c r="G12" s="15">
        <v>84020412</v>
      </c>
      <c r="H12" s="15">
        <v>0.92897175579643376</v>
      </c>
      <c r="I12" s="15">
        <v>85475436</v>
      </c>
      <c r="J12" s="15"/>
      <c r="K12" s="15">
        <v>0.96846378694856239</v>
      </c>
      <c r="L12" s="15">
        <v>82148041</v>
      </c>
      <c r="M12" s="15"/>
      <c r="N12" s="15">
        <v>0.95124550588568024</v>
      </c>
      <c r="O12" s="15">
        <v>76082584</v>
      </c>
      <c r="P12" s="15"/>
      <c r="Q12" s="15">
        <v>0.89596090726157607</v>
      </c>
      <c r="R12" s="15">
        <v>72886664</v>
      </c>
      <c r="S12" s="15"/>
      <c r="T12" s="15">
        <v>0.98430951981544568</v>
      </c>
      <c r="U12" s="15">
        <f>70684690+8084308</f>
        <v>78768998</v>
      </c>
      <c r="V12" s="15">
        <v>0.97751126403544908</v>
      </c>
      <c r="W12" s="15">
        <v>76200607</v>
      </c>
      <c r="X12" s="15"/>
      <c r="Y12" s="15">
        <v>1.0888866262560259</v>
      </c>
      <c r="Z12" s="15">
        <v>84906312</v>
      </c>
      <c r="AA12" s="15"/>
      <c r="AB12" s="15">
        <v>1.0065281412341658</v>
      </c>
      <c r="AC12" s="15">
        <v>88420048</v>
      </c>
      <c r="AD12" s="15"/>
      <c r="AE12" s="15">
        <v>1.0531181660363453</v>
      </c>
      <c r="AF12" s="15">
        <v>85864433</v>
      </c>
      <c r="AG12" s="18">
        <f>'2022'!D12/'2021'!AF12</f>
        <v>1.0623976518892286</v>
      </c>
    </row>
    <row r="13" spans="1:33" ht="22.5" customHeight="1" x14ac:dyDescent="0.25">
      <c r="A13" s="30"/>
      <c r="B13" s="22" t="s">
        <v>14</v>
      </c>
      <c r="C13" s="15">
        <v>28178402</v>
      </c>
      <c r="D13" s="15">
        <v>0.90541524345569113</v>
      </c>
      <c r="E13" s="15">
        <v>24281968</v>
      </c>
      <c r="F13" s="15">
        <v>1.0219440162697588</v>
      </c>
      <c r="G13" s="15">
        <v>26666970</v>
      </c>
      <c r="H13" s="15">
        <v>0.94876227641526245</v>
      </c>
      <c r="I13" s="15">
        <v>15149141</v>
      </c>
      <c r="J13" s="15"/>
      <c r="K13" s="15">
        <v>0.96809293182182632</v>
      </c>
      <c r="L13" s="15">
        <v>15766694</v>
      </c>
      <c r="M13" s="15"/>
      <c r="N13" s="15">
        <v>0.97521309682622637</v>
      </c>
      <c r="O13" s="15">
        <v>14216634</v>
      </c>
      <c r="P13" s="15"/>
      <c r="Q13" s="15">
        <v>1.0422421259764163</v>
      </c>
      <c r="R13" s="15">
        <v>12658585</v>
      </c>
      <c r="S13" s="15"/>
      <c r="T13" s="15">
        <v>0.97966769683232369</v>
      </c>
      <c r="U13" s="15">
        <v>13751327</v>
      </c>
      <c r="V13" s="15">
        <v>1.0078483686780138</v>
      </c>
      <c r="W13" s="15">
        <v>14241938</v>
      </c>
      <c r="X13" s="15"/>
      <c r="Y13" s="15">
        <v>1.1453094967261308</v>
      </c>
      <c r="Z13" s="15">
        <v>15451048</v>
      </c>
      <c r="AA13" s="15"/>
      <c r="AB13" s="15">
        <v>1.0297780755591861</v>
      </c>
      <c r="AC13" s="15">
        <v>16610435</v>
      </c>
      <c r="AD13" s="15"/>
      <c r="AE13" s="15">
        <v>1.0573290469465999</v>
      </c>
      <c r="AF13" s="15">
        <v>15881983</v>
      </c>
      <c r="AG13" s="18">
        <f>'2022'!D13/'2021'!AF13</f>
        <v>1.0510481594143501</v>
      </c>
    </row>
    <row r="14" spans="1:33" ht="22.5" customHeight="1" x14ac:dyDescent="0.25">
      <c r="A14" s="30"/>
      <c r="B14" s="22" t="s">
        <v>15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/>
      <c r="Q14" s="15">
        <v>0</v>
      </c>
      <c r="R14" s="15">
        <f t="shared" ref="R14:R16" si="1">O14*Q14</f>
        <v>0</v>
      </c>
      <c r="S14" s="15"/>
      <c r="T14" s="15"/>
      <c r="U14" s="15">
        <v>0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3" ht="22.5" customHeight="1" x14ac:dyDescent="0.25">
      <c r="A15" s="30"/>
      <c r="B15" s="22" t="s">
        <v>16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/>
      <c r="Q15" s="15">
        <v>0</v>
      </c>
      <c r="R15" s="15">
        <f t="shared" si="1"/>
        <v>0</v>
      </c>
      <c r="S15" s="15"/>
      <c r="T15" s="15"/>
      <c r="U15" s="15">
        <v>0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33" ht="22.5" customHeight="1" x14ac:dyDescent="0.25">
      <c r="A16" s="30"/>
      <c r="B16" s="13" t="s">
        <v>17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"/>
      <c r="Q16" s="1">
        <v>0</v>
      </c>
      <c r="R16" s="15">
        <f t="shared" si="1"/>
        <v>0</v>
      </c>
      <c r="S16" s="15"/>
      <c r="T16" s="15"/>
      <c r="U16" s="15">
        <v>0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22.5" customHeight="1" x14ac:dyDescent="0.25">
      <c r="A17" s="30"/>
      <c r="B17" s="24" t="s">
        <v>21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5"/>
    </row>
    <row r="18" spans="1:32" ht="22.5" customHeight="1" x14ac:dyDescent="0.25">
      <c r="A18" s="30"/>
      <c r="B18" s="13"/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/>
      <c r="Q18" s="1">
        <v>0.78716734248815889</v>
      </c>
      <c r="R18" s="1">
        <f>O18*Q18</f>
        <v>0</v>
      </c>
      <c r="S18" s="1"/>
      <c r="T18" s="1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spans="1:32" ht="22.5" customHeight="1" x14ac:dyDescent="0.25">
      <c r="A19" s="31"/>
      <c r="B19" s="14" t="s">
        <v>18</v>
      </c>
      <c r="C19" s="8">
        <f>SUM(C12:C16,C18)</f>
        <v>119191828</v>
      </c>
      <c r="D19" s="8"/>
      <c r="E19" s="8">
        <f t="shared" ref="E19:AF19" si="2">SUM(E12:E16,E18)</f>
        <v>102477910</v>
      </c>
      <c r="F19" s="8"/>
      <c r="G19" s="8">
        <f t="shared" si="2"/>
        <v>110687382</v>
      </c>
      <c r="H19" s="8"/>
      <c r="I19" s="8">
        <f t="shared" si="2"/>
        <v>100624577</v>
      </c>
      <c r="J19" s="8"/>
      <c r="K19" s="8"/>
      <c r="L19" s="8">
        <f t="shared" si="2"/>
        <v>97914735</v>
      </c>
      <c r="M19" s="8"/>
      <c r="N19" s="8"/>
      <c r="O19" s="8">
        <f t="shared" si="2"/>
        <v>90299218</v>
      </c>
      <c r="P19" s="8"/>
      <c r="Q19" s="8"/>
      <c r="R19" s="8">
        <f t="shared" si="2"/>
        <v>85545249</v>
      </c>
      <c r="S19" s="8"/>
      <c r="T19" s="8"/>
      <c r="U19" s="8">
        <f t="shared" si="2"/>
        <v>92520325</v>
      </c>
      <c r="V19" s="8"/>
      <c r="W19" s="8">
        <f t="shared" si="2"/>
        <v>90442545</v>
      </c>
      <c r="X19" s="8"/>
      <c r="Y19" s="8"/>
      <c r="Z19" s="8">
        <f t="shared" si="2"/>
        <v>100357360</v>
      </c>
      <c r="AA19" s="8"/>
      <c r="AB19" s="8"/>
      <c r="AC19" s="8">
        <f t="shared" si="2"/>
        <v>105030483</v>
      </c>
      <c r="AD19" s="8"/>
      <c r="AE19" s="8"/>
      <c r="AF19" s="8">
        <f t="shared" si="2"/>
        <v>101746416</v>
      </c>
    </row>
    <row r="20" spans="1:32" ht="22.5" customHeight="1" x14ac:dyDescent="0.25">
      <c r="A20" s="26" t="s">
        <v>18</v>
      </c>
      <c r="B20" s="27"/>
      <c r="C20" s="8">
        <f>C10+C19</f>
        <v>119348477</v>
      </c>
      <c r="D20" s="8"/>
      <c r="E20" s="8">
        <f t="shared" ref="E20:AF20" si="3">E10+E19</f>
        <v>102587493</v>
      </c>
      <c r="F20" s="8"/>
      <c r="G20" s="8">
        <f t="shared" si="3"/>
        <v>110789646</v>
      </c>
      <c r="H20" s="8"/>
      <c r="I20" s="8">
        <f t="shared" si="3"/>
        <v>100698674.536</v>
      </c>
      <c r="J20" s="8"/>
      <c r="K20" s="8"/>
      <c r="L20" s="8">
        <f t="shared" si="3"/>
        <v>97965597</v>
      </c>
      <c r="M20" s="8"/>
      <c r="N20" s="8"/>
      <c r="O20" s="8">
        <f t="shared" si="3"/>
        <v>90341799</v>
      </c>
      <c r="P20" s="8"/>
      <c r="Q20" s="8"/>
      <c r="R20" s="8">
        <f t="shared" si="3"/>
        <v>85586279</v>
      </c>
      <c r="S20" s="8"/>
      <c r="T20" s="8"/>
      <c r="U20" s="16">
        <f t="shared" si="3"/>
        <v>92561087</v>
      </c>
      <c r="V20" s="16"/>
      <c r="W20" s="16">
        <f t="shared" si="3"/>
        <v>90491965</v>
      </c>
      <c r="X20" s="16"/>
      <c r="Y20" s="16"/>
      <c r="Z20" s="8">
        <f t="shared" si="3"/>
        <v>100435209</v>
      </c>
      <c r="AA20" s="8"/>
      <c r="AB20" s="8"/>
      <c r="AC20" s="16">
        <f t="shared" si="3"/>
        <v>105123243</v>
      </c>
      <c r="AD20" s="16"/>
      <c r="AE20" s="16"/>
      <c r="AF20" s="16">
        <f t="shared" si="3"/>
        <v>101884525</v>
      </c>
    </row>
    <row r="25" spans="1:32" ht="22.5" customHeight="1" x14ac:dyDescent="0.25">
      <c r="Z25" s="17"/>
      <c r="AA25" s="17"/>
      <c r="AB25" s="17"/>
    </row>
  </sheetData>
  <mergeCells count="8">
    <mergeCell ref="A20:B20"/>
    <mergeCell ref="A2:AF2"/>
    <mergeCell ref="A4:A10"/>
    <mergeCell ref="B4:AF4"/>
    <mergeCell ref="B8:AF8"/>
    <mergeCell ref="A11:A19"/>
    <mergeCell ref="B11:AF11"/>
    <mergeCell ref="B17:A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 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Зиновьев Андрей Сергеевич</cp:lastModifiedBy>
  <dcterms:created xsi:type="dcterms:W3CDTF">2013-11-13T16:10:49Z</dcterms:created>
  <dcterms:modified xsi:type="dcterms:W3CDTF">2025-01-22T08:00:48Z</dcterms:modified>
</cp:coreProperties>
</file>