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5" yWindow="375" windowWidth="24825" windowHeight="4470" firstSheet="8" activeTab="11"/>
  </bookViews>
  <sheets>
    <sheet name="2013" sheetId="15" state="hidden" r:id="rId1"/>
    <sheet name="2014" sheetId="16" state="hidden" r:id="rId2"/>
    <sheet name="2015" sheetId="17" state="hidden" r:id="rId3"/>
    <sheet name="2016" sheetId="12" state="hidden" r:id="rId4"/>
    <sheet name="2017" sheetId="18" state="hidden" r:id="rId5"/>
    <sheet name="2018" sheetId="19" state="hidden" r:id="rId6"/>
    <sheet name="2019" sheetId="20" state="hidden" r:id="rId7"/>
    <sheet name="2020" sheetId="21" state="hidden" r:id="rId8"/>
    <sheet name="2021" sheetId="22" r:id="rId9"/>
    <sheet name="2022" sheetId="23" r:id="rId10"/>
    <sheet name="2023" sheetId="24" r:id="rId11"/>
    <sheet name="2024" sheetId="25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N8" i="25" l="1"/>
  <c r="N7" i="25"/>
  <c r="N5" i="25" l="1"/>
  <c r="M8" i="25" l="1"/>
  <c r="M7" i="25"/>
  <c r="M5" i="25" l="1"/>
  <c r="L8" i="25" l="1"/>
  <c r="L7" i="25"/>
  <c r="L5" i="25"/>
  <c r="K8" i="25" l="1"/>
  <c r="K7" i="25"/>
  <c r="K5" i="25"/>
  <c r="J5" i="25" l="1"/>
  <c r="I5" i="25" l="1"/>
  <c r="H5" i="25" l="1"/>
  <c r="G8" i="25" l="1"/>
  <c r="G7" i="25"/>
  <c r="G5" i="25"/>
  <c r="F5" i="25" l="1"/>
  <c r="E5" i="25" l="1"/>
  <c r="D5" i="25" l="1"/>
  <c r="C5" i="25" l="1"/>
  <c r="N11" i="25" l="1"/>
  <c r="N12" i="25" s="1"/>
  <c r="M11" i="25"/>
  <c r="M12" i="25" s="1"/>
  <c r="G11" i="25"/>
  <c r="G12" i="25" s="1"/>
  <c r="C11" i="25"/>
  <c r="C12" i="25" s="1"/>
  <c r="H11" i="25"/>
  <c r="H12" i="25" s="1"/>
  <c r="L11" i="25"/>
  <c r="L12" i="25" s="1"/>
  <c r="K11" i="25"/>
  <c r="K12" i="25" s="1"/>
  <c r="J11" i="25"/>
  <c r="J12" i="25" s="1"/>
  <c r="I11" i="25"/>
  <c r="I12" i="25" s="1"/>
  <c r="F11" i="25"/>
  <c r="F12" i="25" s="1"/>
  <c r="E11" i="25"/>
  <c r="E12" i="25" s="1"/>
  <c r="D11" i="25"/>
  <c r="D12" i="25" s="1"/>
  <c r="N5" i="24" l="1"/>
  <c r="M5" i="24" l="1"/>
  <c r="L5" i="24" l="1"/>
  <c r="K5" i="24" l="1"/>
  <c r="J5" i="24" l="1"/>
  <c r="I5" i="24" l="1"/>
  <c r="H5" i="24" l="1"/>
  <c r="H8" i="24" l="1"/>
  <c r="H7" i="24"/>
  <c r="F5" i="24" l="1"/>
  <c r="E5" i="24" l="1"/>
  <c r="D5" i="24" l="1"/>
  <c r="C11" i="24" l="1"/>
  <c r="C12" i="24" s="1"/>
  <c r="AH8" i="22"/>
  <c r="AH7" i="22"/>
  <c r="AH6" i="22"/>
  <c r="AH5" i="22"/>
  <c r="K11" i="24"/>
  <c r="K12" i="24" s="1"/>
  <c r="G11" i="24"/>
  <c r="G12" i="24" s="1"/>
  <c r="N11" i="24"/>
  <c r="N12" i="24" s="1"/>
  <c r="M11" i="24"/>
  <c r="M12" i="24" s="1"/>
  <c r="L11" i="24"/>
  <c r="L12" i="24" s="1"/>
  <c r="J11" i="24"/>
  <c r="J12" i="24" s="1"/>
  <c r="I11" i="24"/>
  <c r="I12" i="24" s="1"/>
  <c r="H11" i="24"/>
  <c r="H12" i="24" s="1"/>
  <c r="F11" i="24"/>
  <c r="F12" i="24" s="1"/>
  <c r="E11" i="24"/>
  <c r="E12" i="24" s="1"/>
  <c r="D11" i="24"/>
  <c r="D12" i="24" s="1"/>
  <c r="AS5" i="23" l="1"/>
  <c r="AO5" i="23" l="1"/>
  <c r="AK5" i="23"/>
  <c r="AG5" i="23" l="1"/>
  <c r="AC5" i="23" l="1"/>
  <c r="AC7" i="23"/>
  <c r="Y5" i="23" l="1"/>
  <c r="U5" i="23" l="1"/>
  <c r="Q5" i="23" l="1"/>
  <c r="M5" i="23" l="1"/>
  <c r="J5" i="23" l="1"/>
  <c r="G5" i="23" l="1"/>
  <c r="D5" i="23" l="1"/>
  <c r="W8" i="21" l="1"/>
  <c r="W7" i="21"/>
  <c r="W6" i="21"/>
  <c r="W5" i="21"/>
  <c r="AS11" i="23"/>
  <c r="AS12" i="23" s="1"/>
  <c r="AG11" i="23"/>
  <c r="AG12" i="23" s="1"/>
  <c r="Q11" i="23"/>
  <c r="Q12" i="23" s="1"/>
  <c r="D11" i="23"/>
  <c r="D12" i="23" s="1"/>
  <c r="AO11" i="23"/>
  <c r="AO12" i="23" s="1"/>
  <c r="AK11" i="23"/>
  <c r="AK12" i="23" s="1"/>
  <c r="AC11" i="23"/>
  <c r="AC12" i="23" s="1"/>
  <c r="Y11" i="23"/>
  <c r="Y12" i="23" s="1"/>
  <c r="U11" i="23"/>
  <c r="U12" i="23" s="1"/>
  <c r="M11" i="23"/>
  <c r="M12" i="23" s="1"/>
  <c r="J11" i="23"/>
  <c r="J12" i="23" s="1"/>
  <c r="G11" i="23"/>
  <c r="G12" i="23" s="1"/>
  <c r="N5" i="19" l="1"/>
  <c r="AD5" i="22" l="1"/>
  <c r="AA5" i="22"/>
  <c r="X5" i="22"/>
  <c r="U5" i="22"/>
  <c r="R5" i="22"/>
  <c r="O5" i="22"/>
  <c r="L5" i="22"/>
  <c r="I5" i="22"/>
  <c r="G5" i="22"/>
  <c r="E5" i="22"/>
  <c r="C5" i="22"/>
  <c r="R11" i="22"/>
  <c r="R12" i="22"/>
  <c r="O11" i="22"/>
  <c r="O12" i="22"/>
  <c r="L11" i="22"/>
  <c r="L12" i="22"/>
  <c r="E11" i="22"/>
  <c r="E12" i="22"/>
  <c r="C11" i="22"/>
  <c r="C12" i="22"/>
  <c r="AG11" i="22"/>
  <c r="AG12" i="22" s="1"/>
  <c r="AD11" i="22"/>
  <c r="AD12" i="22"/>
  <c r="AA11" i="22"/>
  <c r="AA12" i="22"/>
  <c r="X11" i="22"/>
  <c r="X12" i="22"/>
  <c r="U11" i="22"/>
  <c r="U12" i="22"/>
  <c r="I11" i="22"/>
  <c r="I12" i="22"/>
  <c r="G11" i="22"/>
  <c r="G12" i="22"/>
  <c r="V5" i="21"/>
  <c r="O8" i="20"/>
  <c r="O7" i="20"/>
  <c r="O6" i="20"/>
  <c r="O5" i="20"/>
  <c r="T5" i="21"/>
  <c r="R5" i="21"/>
  <c r="P5" i="21"/>
  <c r="N5" i="21"/>
  <c r="L11" i="21"/>
  <c r="L12" i="21"/>
  <c r="H5" i="21"/>
  <c r="F5" i="21"/>
  <c r="E5" i="21"/>
  <c r="D5" i="21"/>
  <c r="Q6" i="20"/>
  <c r="Q7" i="20"/>
  <c r="Q8" i="20"/>
  <c r="Q5" i="20"/>
  <c r="C5" i="21"/>
  <c r="V11" i="21"/>
  <c r="V12" i="21"/>
  <c r="T11" i="21"/>
  <c r="T12" i="21"/>
  <c r="R11" i="21"/>
  <c r="R12" i="21"/>
  <c r="P11" i="21"/>
  <c r="P12" i="21"/>
  <c r="N11" i="21"/>
  <c r="N12" i="21"/>
  <c r="J11" i="21"/>
  <c r="J12" i="21"/>
  <c r="H11" i="21"/>
  <c r="H12" i="21"/>
  <c r="F11" i="21"/>
  <c r="F12" i="21"/>
  <c r="E11" i="21"/>
  <c r="E12" i="21"/>
  <c r="D11" i="21"/>
  <c r="D12" i="21"/>
  <c r="C11" i="21"/>
  <c r="C12" i="21"/>
  <c r="N5" i="20"/>
  <c r="M5" i="20"/>
  <c r="L5" i="20"/>
  <c r="K5" i="20"/>
  <c r="J5" i="20"/>
  <c r="I5" i="20"/>
  <c r="H5" i="20"/>
  <c r="G5" i="20"/>
  <c r="F5" i="20"/>
  <c r="E5" i="20"/>
  <c r="D5" i="20"/>
  <c r="C5" i="20"/>
  <c r="C11" i="20"/>
  <c r="C12" i="20"/>
  <c r="N11" i="20"/>
  <c r="N12" i="20"/>
  <c r="M11" i="20"/>
  <c r="M12" i="20"/>
  <c r="L11" i="20"/>
  <c r="L12" i="20"/>
  <c r="K11" i="20"/>
  <c r="K12" i="20"/>
  <c r="J11" i="20"/>
  <c r="J12" i="20"/>
  <c r="I11" i="20"/>
  <c r="I12" i="20"/>
  <c r="H11" i="20"/>
  <c r="H12" i="20"/>
  <c r="G11" i="20"/>
  <c r="G12" i="20"/>
  <c r="F11" i="20"/>
  <c r="F12" i="20"/>
  <c r="E11" i="20"/>
  <c r="E12" i="20"/>
  <c r="D11" i="20"/>
  <c r="D12" i="20"/>
  <c r="M5" i="19"/>
  <c r="L5" i="19"/>
  <c r="K5" i="19"/>
  <c r="J5" i="19"/>
  <c r="I5" i="19"/>
  <c r="H5" i="19"/>
  <c r="G5" i="19"/>
  <c r="F5" i="19"/>
  <c r="E5" i="19"/>
  <c r="D5" i="19"/>
  <c r="M11" i="19"/>
  <c r="M12" i="19"/>
  <c r="L11" i="19"/>
  <c r="L12" i="19"/>
  <c r="J11" i="19"/>
  <c r="J12" i="19"/>
  <c r="I11" i="19"/>
  <c r="I12" i="19"/>
  <c r="F11" i="19"/>
  <c r="F12" i="19"/>
  <c r="E11" i="19"/>
  <c r="E12" i="19"/>
  <c r="N11" i="19"/>
  <c r="N12" i="19" s="1"/>
  <c r="K11" i="19"/>
  <c r="K12" i="19"/>
  <c r="H11" i="19"/>
  <c r="H12" i="19"/>
  <c r="G11" i="19"/>
  <c r="G12" i="19"/>
  <c r="D11" i="19"/>
  <c r="D12" i="19"/>
  <c r="C11" i="19"/>
  <c r="C12" i="19"/>
  <c r="N5" i="18"/>
  <c r="K5" i="18"/>
  <c r="J5" i="18"/>
  <c r="J11" i="18"/>
  <c r="J12" i="18"/>
  <c r="I5" i="18"/>
  <c r="I11" i="18"/>
  <c r="I12" i="18"/>
  <c r="H5" i="18"/>
  <c r="G5" i="18"/>
  <c r="G11" i="18"/>
  <c r="G12" i="18"/>
  <c r="F5" i="18"/>
  <c r="E5" i="18"/>
  <c r="D5" i="18"/>
  <c r="C5" i="18"/>
  <c r="F11" i="18"/>
  <c r="F12" i="18"/>
  <c r="E11" i="18"/>
  <c r="E12" i="18"/>
  <c r="D11" i="18"/>
  <c r="D12" i="18"/>
  <c r="C11" i="18"/>
  <c r="C12" i="18"/>
  <c r="N11" i="18"/>
  <c r="N12" i="18"/>
  <c r="M11" i="18"/>
  <c r="M12" i="18"/>
  <c r="L11" i="18"/>
  <c r="L12" i="18"/>
  <c r="K11" i="18"/>
  <c r="K12" i="18"/>
  <c r="H11" i="18"/>
  <c r="H12" i="18"/>
  <c r="N5" i="12"/>
  <c r="M5" i="12"/>
  <c r="L5" i="12"/>
  <c r="K5" i="12"/>
  <c r="J5" i="12"/>
  <c r="J7" i="12"/>
  <c r="I5" i="12"/>
  <c r="I7" i="12"/>
  <c r="H5" i="12"/>
  <c r="N11" i="12"/>
  <c r="N12" i="12"/>
  <c r="L11" i="12"/>
  <c r="L12" i="12"/>
  <c r="K11" i="12"/>
  <c r="K12" i="12"/>
  <c r="J11" i="12"/>
  <c r="J12" i="12"/>
  <c r="I11" i="12"/>
  <c r="I12" i="12"/>
  <c r="H11" i="12"/>
  <c r="H12" i="12"/>
  <c r="G11" i="12"/>
  <c r="G12" i="12"/>
  <c r="F11" i="12"/>
  <c r="F12" i="12"/>
  <c r="E11" i="12"/>
  <c r="E12" i="12"/>
  <c r="D11" i="12"/>
  <c r="D12" i="12"/>
  <c r="C11" i="12"/>
  <c r="C12" i="12"/>
  <c r="M11" i="12"/>
  <c r="M12" i="12"/>
  <c r="N11" i="17"/>
  <c r="N12" i="17"/>
  <c r="M8" i="17"/>
  <c r="M7" i="17"/>
  <c r="M6" i="17"/>
  <c r="N11" i="15"/>
  <c r="N12" i="15"/>
  <c r="M11" i="15"/>
  <c r="M12" i="15"/>
  <c r="L11" i="15"/>
  <c r="L12" i="15"/>
  <c r="K11" i="15"/>
  <c r="K12" i="15"/>
  <c r="G11" i="15"/>
  <c r="G12" i="15"/>
  <c r="J11" i="15"/>
  <c r="J12" i="15"/>
  <c r="I11" i="15"/>
  <c r="I12" i="15"/>
  <c r="H11" i="15"/>
  <c r="H12" i="15"/>
  <c r="M11" i="17"/>
  <c r="M12" i="17"/>
  <c r="L11" i="17"/>
  <c r="L12" i="17"/>
  <c r="K11" i="17"/>
  <c r="K12" i="17"/>
  <c r="J11" i="17"/>
  <c r="J12" i="17"/>
  <c r="I11" i="17"/>
  <c r="I12" i="17"/>
  <c r="H11" i="17"/>
  <c r="H12" i="17"/>
  <c r="G11" i="17"/>
  <c r="G12" i="17"/>
  <c r="F11" i="17"/>
  <c r="F12" i="17"/>
  <c r="E11" i="17"/>
  <c r="E12" i="17"/>
  <c r="D11" i="17"/>
  <c r="D12" i="17"/>
  <c r="C11" i="17"/>
  <c r="C12" i="17"/>
  <c r="N11" i="16"/>
  <c r="N12" i="16"/>
  <c r="M11" i="16"/>
  <c r="M12" i="16"/>
  <c r="L11" i="16"/>
  <c r="L12" i="16"/>
  <c r="K11" i="16"/>
  <c r="K12" i="16"/>
  <c r="J11" i="16"/>
  <c r="J12" i="16"/>
  <c r="I11" i="16"/>
  <c r="I12" i="16"/>
  <c r="H11" i="16"/>
  <c r="H12" i="16"/>
  <c r="G11" i="16"/>
  <c r="G12" i="16"/>
  <c r="F11" i="16"/>
  <c r="F12" i="16"/>
  <c r="E11" i="16"/>
  <c r="E12" i="16"/>
  <c r="D11" i="16"/>
  <c r="D12" i="16"/>
  <c r="C11" i="16"/>
  <c r="C12" i="16"/>
  <c r="F11" i="15"/>
  <c r="F12" i="15"/>
  <c r="E11" i="15"/>
  <c r="E12" i="15"/>
  <c r="D11" i="15"/>
  <c r="D12" i="15"/>
  <c r="C11" i="15"/>
  <c r="C12" i="15"/>
</calcChain>
</file>

<file path=xl/sharedStrings.xml><?xml version="1.0" encoding="utf-8"?>
<sst xmlns="http://schemas.openxmlformats.org/spreadsheetml/2006/main" count="288" uniqueCount="41">
  <si>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</si>
  <si>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</si>
  <si>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</si>
  <si>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</si>
  <si>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</si>
  <si>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</si>
  <si>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</si>
  <si>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</si>
  <si>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</si>
  <si>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</si>
  <si>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</si>
  <si>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</si>
  <si>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</si>
  <si>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</si>
  <si>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</si>
  <si>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</si>
  <si>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</si>
  <si>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</si>
  <si>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</si>
  <si>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ВСЕГО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</si>
  <si>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</si>
  <si>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</si>
  <si>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</si>
  <si>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</si>
  <si>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</si>
  <si>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2016 год</t>
  </si>
  <si>
    <t>ПАО "МРСК Центра и Приволжья" - Филиал "Ивэнерго"</t>
  </si>
  <si>
    <t>ОАО "МРСК Центра и Приволжья" - Филиал "Ивэнерго"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</si>
  <si>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2017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</si>
  <si>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</si>
  <si>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</si>
  <si>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</si>
  <si>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</si>
  <si>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2020 год</t>
  </si>
  <si>
    <t>Филиал ПАО "МРСК Центра и Приволжья" -  "Ивэнерго"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</si>
  <si>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2021 год</t>
  </si>
  <si>
    <t>филиал ПАО "Россети Центр и Приволжье" -  "Ивэнерго"</t>
  </si>
  <si>
    <t>ПАО "Россети Центр и Приволжье" - Филиал "Ивэнерго"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</si>
  <si>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</si>
  <si>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</si>
  <si>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Ивановской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</si>
</sst>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"/>
    <numFmt numFmtId="166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34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2" fillId="0" borderId="0" xfId="0" applyNumberFormat="1" applyFont="1" applyFill="1"/>
    <xf numFmtId="3" fontId="4" fillId="0" borderId="3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5" fillId="0" borderId="0" xfId="2" applyFont="1" applyFill="1" applyBorder="1"/>
    <xf numFmtId="165" fontId="5" fillId="0" borderId="0" xfId="2" applyNumberFormat="1" applyFont="1" applyFill="1" applyBorder="1"/>
    <xf numFmtId="3" fontId="6" fillId="0" borderId="0" xfId="0" applyNumberFormat="1" applyFont="1"/>
    <xf numFmtId="0" fontId="7" fillId="0" borderId="0" xfId="0" applyFont="1"/>
    <xf numFmtId="166" fontId="4" fillId="0" borderId="3" xfId="0" applyNumberFormat="1" applyFont="1" applyFill="1" applyBorder="1" applyAlignment="1">
      <alignment horizontal="center" vertical="center"/>
    </xf>
    <xf numFmtId="0" fontId="6" fillId="0" borderId="0" xfId="0" applyFont="1"/>
    <xf numFmtId="3" fontId="3" fillId="0" borderId="6" xfId="0" applyNumberFormat="1" applyFont="1" applyFill="1" applyBorder="1" applyAlignment="1">
      <alignment horizontal="center"/>
    </xf>
    <xf numFmtId="0" fontId="8" fillId="0" borderId="8" xfId="3" applyNumberFormat="1" applyFont="1" applyBorder="1" applyAlignment="1">
      <alignment vertical="top" wrapText="1"/>
    </xf>
    <xf numFmtId="0" fontId="8" fillId="0" borderId="8" xfId="3" applyNumberFormat="1" applyFont="1" applyBorder="1" applyAlignment="1">
      <alignment horizontal="right" vertical="top"/>
    </xf>
    <xf numFmtId="3" fontId="8" fillId="0" borderId="8" xfId="3" applyNumberFormat="1" applyFont="1" applyBorder="1" applyAlignment="1">
      <alignment horizontal="right" vertical="top"/>
    </xf>
    <xf numFmtId="4" fontId="0" fillId="0" borderId="0" xfId="0" applyNumberFormat="1"/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 4" xfId="2"/>
    <cellStyle name="Обычный_202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15/&#1048;&#1074;&#1072;&#1085;&#1086;&#1074;&#1086;/11/&#1048;&#1074;&#1072;&#1085;&#1086;&#1074;&#1086;%20&#1057;&#1046;&#104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 акт"/>
      <sheetName val="выгрузка"/>
      <sheetName val="сов 1 ВН"/>
      <sheetName val="сов 1 СН-1"/>
      <sheetName val="сов 1 СН-2 "/>
      <sheetName val="не в совокуп (ВН менее 150) "/>
      <sheetName val="не в совокуп (СН2 менее 150)"/>
      <sheetName val="не в совокуп (СН2 150-670)"/>
      <sheetName val="не в совокуп (НН менее 150)"/>
      <sheetName val="объем"/>
      <sheetName val="Цены АТС "/>
      <sheetName val="расчет цен "/>
      <sheetName val="для сч-ф"/>
      <sheetName val="расчет профиля ПС Солидарность"/>
      <sheetName val="расчет профиля ПС Ворожи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H15">
            <v>1159.5994222475499</v>
          </cell>
        </row>
        <row r="16">
          <cell r="H16">
            <v>1159.5994222475499</v>
          </cell>
        </row>
        <row r="17">
          <cell r="H17">
            <v>1159.5994222475499</v>
          </cell>
        </row>
        <row r="18">
          <cell r="H18">
            <v>1159.5994222475499</v>
          </cell>
        </row>
        <row r="19">
          <cell r="H19">
            <v>1159.5994222475499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A11" sqref="A11:B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9" t="s">
        <v>27</v>
      </c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22.5" customHeight="1" x14ac:dyDescent="0.25">
      <c r="A5" s="30"/>
      <c r="B5" s="6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2.5" customHeight="1" x14ac:dyDescent="0.25">
      <c r="A6" s="30"/>
      <c r="B6" s="6" t="s">
        <v>15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2.5" customHeight="1" x14ac:dyDescent="0.25">
      <c r="A7" s="30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2.5" customHeight="1" x14ac:dyDescent="0.25">
      <c r="A8" s="30"/>
      <c r="B8" s="6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2.5" customHeight="1" x14ac:dyDescent="0.25">
      <c r="A9" s="30"/>
      <c r="B9" s="31" t="s">
        <v>21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ht="22.5" customHeight="1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2.5" customHeight="1" x14ac:dyDescent="0.25">
      <c r="A11" s="26" t="s">
        <v>18</v>
      </c>
      <c r="B11" s="27"/>
      <c r="C11" s="9">
        <f t="shared" ref="C11:F11" si="0">SUM(C5:C8,C10)</f>
        <v>0</v>
      </c>
      <c r="D11" s="9">
        <f t="shared" si="0"/>
        <v>0</v>
      </c>
      <c r="E11" s="9">
        <f t="shared" si="0"/>
        <v>0</v>
      </c>
      <c r="F11" s="9">
        <f t="shared" si="0"/>
        <v>0</v>
      </c>
      <c r="G11" s="9">
        <f t="shared" ref="G11:N11" si="1">SUM(G5:G8,G10)</f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 t="shared" si="1"/>
        <v>0</v>
      </c>
      <c r="M11" s="9">
        <f t="shared" si="1"/>
        <v>0</v>
      </c>
      <c r="N11" s="9">
        <f t="shared" si="1"/>
        <v>0</v>
      </c>
    </row>
    <row r="12" spans="1:14" s="10" customFormat="1" ht="22.5" customHeight="1" x14ac:dyDescent="0.2">
      <c r="A12" s="26" t="s">
        <v>19</v>
      </c>
      <c r="B12" s="27"/>
      <c r="C12" s="9">
        <f>C11</f>
        <v>0</v>
      </c>
      <c r="D12" s="9">
        <f t="shared" ref="D12:F12" si="2">D11</f>
        <v>0</v>
      </c>
      <c r="E12" s="9">
        <f t="shared" si="2"/>
        <v>0</v>
      </c>
      <c r="F12" s="9">
        <f t="shared" si="2"/>
        <v>0</v>
      </c>
      <c r="G12" s="9">
        <f t="shared" ref="G12:N12" si="3">G11</f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zoomScale="70" zoomScaleNormal="70" workbookViewId="0">
      <selection activeCell="AK28" sqref="AK28:AK31"/>
    </sheetView>
  </sheetViews>
  <sheetFormatPr defaultRowHeight="15" x14ac:dyDescent="0.25"/>
  <cols>
    <col min="1" max="1" width="18.28515625" customWidth="1"/>
    <col min="2" max="2" width="16.140625" customWidth="1"/>
    <col min="3" max="3" width="16.140625" hidden="1" customWidth="1"/>
    <col min="4" max="4" width="18.5703125" customWidth="1"/>
    <col min="5" max="6" width="18.5703125" hidden="1" customWidth="1"/>
    <col min="7" max="7" width="17.85546875" customWidth="1"/>
    <col min="8" max="9" width="17.85546875" hidden="1" customWidth="1"/>
    <col min="10" max="10" width="17.7109375" customWidth="1"/>
    <col min="11" max="12" width="17.7109375" hidden="1" customWidth="1"/>
    <col min="13" max="13" width="17.5703125" customWidth="1"/>
    <col min="14" max="16" width="17.5703125" hidden="1" customWidth="1"/>
    <col min="17" max="17" width="18.7109375" customWidth="1"/>
    <col min="18" max="20" width="18.7109375" hidden="1" customWidth="1"/>
    <col min="21" max="21" width="17.28515625" customWidth="1"/>
    <col min="22" max="24" width="17.28515625" hidden="1" customWidth="1"/>
    <col min="25" max="25" width="17.7109375" customWidth="1"/>
    <col min="26" max="28" width="17.7109375" hidden="1" customWidth="1"/>
    <col min="29" max="29" width="17.7109375" customWidth="1"/>
    <col min="30" max="32" width="17.7109375" hidden="1" customWidth="1"/>
    <col min="33" max="33" width="20" customWidth="1"/>
    <col min="34" max="36" width="20" hidden="1" customWidth="1"/>
    <col min="37" max="37" width="24.42578125" customWidth="1"/>
    <col min="38" max="40" width="24.42578125" hidden="1" customWidth="1"/>
    <col min="41" max="41" width="21" customWidth="1"/>
    <col min="42" max="44" width="21" hidden="1" customWidth="1"/>
    <col min="45" max="45" width="24.7109375" customWidth="1"/>
  </cols>
  <sheetData>
    <row r="1" spans="1: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 x14ac:dyDescent="0.25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</row>
    <row r="3" spans="1:46" ht="28.5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/>
      <c r="U3" s="4" t="s">
        <v>7</v>
      </c>
      <c r="V3" s="4"/>
      <c r="W3" s="4"/>
      <c r="X3" s="4"/>
      <c r="Y3" s="4" t="s">
        <v>8</v>
      </c>
      <c r="Z3" s="4"/>
      <c r="AA3" s="4"/>
      <c r="AB3" s="4"/>
      <c r="AC3" s="4" t="s">
        <v>9</v>
      </c>
      <c r="AD3" s="4"/>
      <c r="AE3" s="4"/>
      <c r="AF3" s="4"/>
      <c r="AG3" s="4" t="s">
        <v>10</v>
      </c>
      <c r="AH3" s="4"/>
      <c r="AI3" s="4"/>
      <c r="AJ3" s="4"/>
      <c r="AK3" s="4" t="s">
        <v>11</v>
      </c>
      <c r="AL3" s="4"/>
      <c r="AM3" s="4"/>
      <c r="AN3" s="4"/>
      <c r="AO3" s="4" t="s">
        <v>12</v>
      </c>
      <c r="AP3" s="4"/>
      <c r="AQ3" s="4"/>
      <c r="AR3" s="4"/>
      <c r="AS3" s="4" t="s">
        <v>13</v>
      </c>
    </row>
    <row r="4" spans="1:46" x14ac:dyDescent="0.25">
      <c r="A4" s="29" t="s">
        <v>36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3"/>
    </row>
    <row r="5" spans="1:46" x14ac:dyDescent="0.25">
      <c r="A5" s="30"/>
      <c r="B5" s="6" t="s">
        <v>14</v>
      </c>
      <c r="C5" s="6">
        <v>0.81236756770842666</v>
      </c>
      <c r="D5" s="12">
        <f>642083+60432</f>
        <v>702515</v>
      </c>
      <c r="E5" s="12"/>
      <c r="F5" s="12">
        <v>1.1797316695670306</v>
      </c>
      <c r="G5" s="12">
        <f>43249+483155</f>
        <v>526404</v>
      </c>
      <c r="H5" s="12"/>
      <c r="I5" s="12">
        <v>1.1086116417078493</v>
      </c>
      <c r="J5" s="12">
        <f>625453+37905</f>
        <v>663358</v>
      </c>
      <c r="K5" s="12"/>
      <c r="L5" s="12">
        <v>0.91629914753957631</v>
      </c>
      <c r="M5" s="12">
        <f>587430+30696</f>
        <v>618126</v>
      </c>
      <c r="N5" s="19"/>
      <c r="O5" s="19"/>
      <c r="P5" s="19">
        <v>1.0897774134455327</v>
      </c>
      <c r="Q5" s="12">
        <f>558884+27145</f>
        <v>586029</v>
      </c>
      <c r="R5" s="12"/>
      <c r="S5" s="12"/>
      <c r="T5" s="12">
        <v>1.099487418810609</v>
      </c>
      <c r="U5" s="7">
        <f>21200+612811</f>
        <v>634011</v>
      </c>
      <c r="V5" s="7"/>
      <c r="W5" s="7"/>
      <c r="X5" s="7">
        <v>1.0304656695745418</v>
      </c>
      <c r="Y5" s="7">
        <f>686849+22424</f>
        <v>709273</v>
      </c>
      <c r="Z5" s="7"/>
      <c r="AA5" s="7"/>
      <c r="AB5" s="7">
        <v>0.91884813206943838</v>
      </c>
      <c r="AC5" s="7">
        <f>659475+23945</f>
        <v>683420</v>
      </c>
      <c r="AD5" s="7"/>
      <c r="AE5" s="7"/>
      <c r="AF5" s="7">
        <v>0.81668468154946672</v>
      </c>
      <c r="AG5" s="7">
        <f>26429+506160</f>
        <v>532589</v>
      </c>
      <c r="AH5" s="7"/>
      <c r="AI5" s="7"/>
      <c r="AJ5" s="7">
        <v>1.0164653710802432</v>
      </c>
      <c r="AK5" s="7">
        <f>30838+400831</f>
        <v>431669</v>
      </c>
      <c r="AL5" s="7"/>
      <c r="AM5" s="7"/>
      <c r="AN5" s="7">
        <v>0.98705741915771972</v>
      </c>
      <c r="AO5" s="7">
        <f>36815+417032</f>
        <v>453847</v>
      </c>
      <c r="AP5" s="7"/>
      <c r="AQ5" s="7"/>
      <c r="AR5" s="7">
        <v>1.2714095979210382</v>
      </c>
      <c r="AS5" s="7">
        <f>56520+508939</f>
        <v>565459</v>
      </c>
      <c r="AT5" s="20"/>
    </row>
    <row r="6" spans="1:46" x14ac:dyDescent="0.25">
      <c r="A6" s="30"/>
      <c r="B6" s="6" t="s">
        <v>15</v>
      </c>
      <c r="C6" s="6">
        <v>1.7068457492000939</v>
      </c>
      <c r="D6" s="12">
        <v>90686</v>
      </c>
      <c r="E6" s="12"/>
      <c r="F6" s="12">
        <v>0.58301648997574695</v>
      </c>
      <c r="G6" s="12">
        <v>74179</v>
      </c>
      <c r="H6" s="12"/>
      <c r="I6" s="12">
        <v>1.5573216588857199</v>
      </c>
      <c r="J6" s="12">
        <v>84756</v>
      </c>
      <c r="K6" s="12"/>
      <c r="L6" s="12">
        <v>0.79114418691457966</v>
      </c>
      <c r="M6" s="12">
        <v>63009</v>
      </c>
      <c r="N6" s="19"/>
      <c r="O6" s="19"/>
      <c r="P6" s="19">
        <v>0.58352500589761735</v>
      </c>
      <c r="Q6" s="12">
        <v>59481</v>
      </c>
      <c r="R6" s="12"/>
      <c r="S6" s="12"/>
      <c r="T6" s="12">
        <v>0.52500189504004846</v>
      </c>
      <c r="U6" s="7">
        <v>20489</v>
      </c>
      <c r="V6" s="7"/>
      <c r="W6" s="7"/>
      <c r="X6" s="7">
        <v>0.97073828087400138</v>
      </c>
      <c r="Y6" s="7">
        <v>20223</v>
      </c>
      <c r="Z6" s="7"/>
      <c r="AA6" s="7"/>
      <c r="AB6" s="7">
        <v>1.1443728309370351</v>
      </c>
      <c r="AC6" s="12">
        <v>17281</v>
      </c>
      <c r="AD6" s="12"/>
      <c r="AE6" s="12"/>
      <c r="AF6" s="12">
        <v>2.0029893423446841</v>
      </c>
      <c r="AG6" s="12">
        <v>42785</v>
      </c>
      <c r="AH6" s="12"/>
      <c r="AI6" s="12"/>
      <c r="AJ6" s="12">
        <v>1.3183224103994982</v>
      </c>
      <c r="AK6" s="12">
        <v>47895</v>
      </c>
      <c r="AL6" s="12"/>
      <c r="AM6" s="12"/>
      <c r="AN6" s="12">
        <v>0.75361771944216571</v>
      </c>
      <c r="AO6" s="12">
        <v>50274</v>
      </c>
      <c r="AP6" s="12"/>
      <c r="AQ6" s="12"/>
      <c r="AR6" s="12">
        <v>1.7861885790172642</v>
      </c>
      <c r="AS6" s="12">
        <v>55835</v>
      </c>
      <c r="AT6" s="20"/>
    </row>
    <row r="7" spans="1:46" x14ac:dyDescent="0.25">
      <c r="A7" s="30"/>
      <c r="B7" s="6" t="s">
        <v>16</v>
      </c>
      <c r="C7" s="6">
        <v>1.1251718677029605</v>
      </c>
      <c r="D7" s="12">
        <v>386332</v>
      </c>
      <c r="E7" s="12"/>
      <c r="F7" s="12">
        <v>0.82388131686708432</v>
      </c>
      <c r="G7" s="12">
        <v>265877</v>
      </c>
      <c r="H7" s="12"/>
      <c r="I7" s="12">
        <v>1.053685211870131</v>
      </c>
      <c r="J7" s="12">
        <v>271804</v>
      </c>
      <c r="K7" s="12"/>
      <c r="L7" s="12">
        <v>0.48905010056438925</v>
      </c>
      <c r="M7" s="12">
        <v>176932</v>
      </c>
      <c r="N7" s="19"/>
      <c r="O7" s="19"/>
      <c r="P7" s="19">
        <v>0.81997771636427186</v>
      </c>
      <c r="Q7" s="12">
        <v>161694</v>
      </c>
      <c r="R7" s="12"/>
      <c r="S7" s="12"/>
      <c r="T7" s="12">
        <v>0.49448155968374707</v>
      </c>
      <c r="U7" s="7">
        <v>11342.80949</v>
      </c>
      <c r="V7" s="7"/>
      <c r="W7" s="7"/>
      <c r="X7" s="7">
        <v>1.4463617015544601</v>
      </c>
      <c r="Y7" s="7">
        <v>58160</v>
      </c>
      <c r="Z7" s="7"/>
      <c r="AA7" s="7"/>
      <c r="AB7" s="7">
        <v>0.812069848661234</v>
      </c>
      <c r="AC7" s="12">
        <f>3067+9458+73769</f>
        <v>86294</v>
      </c>
      <c r="AD7" s="12"/>
      <c r="AE7" s="12"/>
      <c r="AF7" s="12">
        <v>1.997167301252351</v>
      </c>
      <c r="AG7" s="12">
        <v>151417</v>
      </c>
      <c r="AH7" s="12"/>
      <c r="AI7" s="12"/>
      <c r="AJ7" s="12">
        <v>1.0713658158431192</v>
      </c>
      <c r="AK7" s="12">
        <v>206199</v>
      </c>
      <c r="AL7" s="12"/>
      <c r="AM7" s="12"/>
      <c r="AN7" s="12">
        <v>1.6360566641475454</v>
      </c>
      <c r="AO7" s="12">
        <v>291653</v>
      </c>
      <c r="AP7" s="12"/>
      <c r="AQ7" s="12"/>
      <c r="AR7" s="12">
        <v>1.3588768329598617</v>
      </c>
      <c r="AS7" s="12">
        <v>336267</v>
      </c>
      <c r="AT7" s="20"/>
    </row>
    <row r="8" spans="1:46" x14ac:dyDescent="0.25">
      <c r="A8" s="30"/>
      <c r="B8" s="6" t="s">
        <v>17</v>
      </c>
      <c r="C8" s="6">
        <v>1.1097526300824567</v>
      </c>
      <c r="D8" s="12">
        <v>7446</v>
      </c>
      <c r="E8" s="12"/>
      <c r="F8" s="12">
        <v>0.85831411734563157</v>
      </c>
      <c r="G8" s="12">
        <v>5929</v>
      </c>
      <c r="H8" s="12"/>
      <c r="I8" s="12">
        <v>1.098358208955224</v>
      </c>
      <c r="J8" s="12">
        <v>6596</v>
      </c>
      <c r="K8" s="12"/>
      <c r="L8" s="12">
        <v>0.88843592879467315</v>
      </c>
      <c r="M8" s="12">
        <v>5345</v>
      </c>
      <c r="N8" s="19"/>
      <c r="O8" s="19"/>
      <c r="P8" s="19">
        <v>1.0204955643927807</v>
      </c>
      <c r="Q8" s="12">
        <v>6937</v>
      </c>
      <c r="R8" s="12"/>
      <c r="S8" s="12"/>
      <c r="T8" s="12">
        <v>0.79901079136690645</v>
      </c>
      <c r="U8" s="7">
        <v>11379</v>
      </c>
      <c r="V8" s="7"/>
      <c r="W8" s="7"/>
      <c r="X8" s="7">
        <v>1.0437066216469706</v>
      </c>
      <c r="Y8" s="7">
        <v>5037</v>
      </c>
      <c r="Z8" s="7"/>
      <c r="AA8" s="7"/>
      <c r="AB8" s="7">
        <v>1.0744069015097053</v>
      </c>
      <c r="AC8" s="12">
        <v>5077</v>
      </c>
      <c r="AD8" s="12"/>
      <c r="AE8" s="12"/>
      <c r="AF8" s="12">
        <v>1.1858481097356977</v>
      </c>
      <c r="AG8" s="12">
        <v>6610</v>
      </c>
      <c r="AH8" s="12"/>
      <c r="AI8" s="12"/>
      <c r="AJ8" s="12">
        <v>0.82197771194808855</v>
      </c>
      <c r="AK8" s="12">
        <v>6260</v>
      </c>
      <c r="AL8" s="12"/>
      <c r="AM8" s="12"/>
      <c r="AN8" s="12">
        <v>1.0622962073107947</v>
      </c>
      <c r="AO8" s="12">
        <v>6621</v>
      </c>
      <c r="AP8" s="12"/>
      <c r="AQ8" s="12"/>
      <c r="AR8" s="12">
        <v>1.1898222940226171</v>
      </c>
      <c r="AS8" s="12">
        <v>6971</v>
      </c>
      <c r="AT8" s="20"/>
    </row>
    <row r="9" spans="1:46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3"/>
    </row>
    <row r="10" spans="1:46" x14ac:dyDescent="0.25">
      <c r="A10" s="30"/>
      <c r="B10" s="8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1:46" x14ac:dyDescent="0.25">
      <c r="A11" s="26" t="s">
        <v>18</v>
      </c>
      <c r="B11" s="27"/>
      <c r="C11" s="21"/>
      <c r="D11" s="9">
        <f t="shared" ref="D11:AS11" si="0">SUM(D5:D8,D10)</f>
        <v>1186979</v>
      </c>
      <c r="E11" s="9"/>
      <c r="F11" s="9"/>
      <c r="G11" s="9">
        <f t="shared" si="0"/>
        <v>872389</v>
      </c>
      <c r="H11" s="9"/>
      <c r="I11" s="9"/>
      <c r="J11" s="9">
        <f t="shared" si="0"/>
        <v>1026514</v>
      </c>
      <c r="K11" s="9"/>
      <c r="L11" s="9"/>
      <c r="M11" s="9">
        <f t="shared" si="0"/>
        <v>863412</v>
      </c>
      <c r="N11" s="9"/>
      <c r="O11" s="9"/>
      <c r="P11" s="9"/>
      <c r="Q11" s="9">
        <f t="shared" si="0"/>
        <v>814141</v>
      </c>
      <c r="R11" s="9"/>
      <c r="S11" s="9"/>
      <c r="T11" s="9"/>
      <c r="U11" s="9">
        <f>SUM(U5:U8,U10)</f>
        <v>677221.80949000001</v>
      </c>
      <c r="V11" s="9"/>
      <c r="W11" s="9"/>
      <c r="X11" s="9"/>
      <c r="Y11" s="9">
        <f>SUM(Y5:Y8,Y10)</f>
        <v>792693</v>
      </c>
      <c r="Z11" s="9"/>
      <c r="AA11" s="9"/>
      <c r="AB11" s="9"/>
      <c r="AC11" s="9">
        <f t="shared" si="0"/>
        <v>792072</v>
      </c>
      <c r="AD11" s="9"/>
      <c r="AE11" s="9"/>
      <c r="AF11" s="9"/>
      <c r="AG11" s="9">
        <f t="shared" si="0"/>
        <v>733401</v>
      </c>
      <c r="AH11" s="9"/>
      <c r="AI11" s="9"/>
      <c r="AJ11" s="9"/>
      <c r="AK11" s="9">
        <f t="shared" si="0"/>
        <v>692023</v>
      </c>
      <c r="AL11" s="9"/>
      <c r="AM11" s="9"/>
      <c r="AN11" s="9"/>
      <c r="AO11" s="9">
        <f t="shared" si="0"/>
        <v>802395</v>
      </c>
      <c r="AP11" s="9"/>
      <c r="AQ11" s="9"/>
      <c r="AR11" s="9"/>
      <c r="AS11" s="9">
        <f t="shared" si="0"/>
        <v>964532</v>
      </c>
    </row>
    <row r="12" spans="1:46" x14ac:dyDescent="0.25">
      <c r="A12" s="26" t="s">
        <v>19</v>
      </c>
      <c r="B12" s="27"/>
      <c r="C12" s="21"/>
      <c r="D12" s="9">
        <f>D11</f>
        <v>1186979</v>
      </c>
      <c r="E12" s="9"/>
      <c r="F12" s="9"/>
      <c r="G12" s="9">
        <f t="shared" ref="G12:AS12" si="1">G11</f>
        <v>872389</v>
      </c>
      <c r="H12" s="9"/>
      <c r="I12" s="9"/>
      <c r="J12" s="9">
        <f t="shared" si="1"/>
        <v>1026514</v>
      </c>
      <c r="K12" s="9"/>
      <c r="L12" s="9"/>
      <c r="M12" s="9">
        <f t="shared" si="1"/>
        <v>863412</v>
      </c>
      <c r="N12" s="9"/>
      <c r="O12" s="9"/>
      <c r="P12" s="9"/>
      <c r="Q12" s="9">
        <f t="shared" si="1"/>
        <v>814141</v>
      </c>
      <c r="R12" s="9"/>
      <c r="S12" s="9"/>
      <c r="T12" s="9"/>
      <c r="U12" s="9">
        <f t="shared" si="1"/>
        <v>677221.80949000001</v>
      </c>
      <c r="V12" s="9"/>
      <c r="W12" s="9"/>
      <c r="X12" s="9"/>
      <c r="Y12" s="9">
        <f t="shared" si="1"/>
        <v>792693</v>
      </c>
      <c r="Z12" s="9"/>
      <c r="AA12" s="9"/>
      <c r="AB12" s="9"/>
      <c r="AC12" s="9">
        <f t="shared" si="1"/>
        <v>792072</v>
      </c>
      <c r="AD12" s="9"/>
      <c r="AE12" s="9"/>
      <c r="AF12" s="9"/>
      <c r="AG12" s="9">
        <f t="shared" si="1"/>
        <v>733401</v>
      </c>
      <c r="AH12" s="9"/>
      <c r="AI12" s="9"/>
      <c r="AJ12" s="9"/>
      <c r="AK12" s="9">
        <f t="shared" si="1"/>
        <v>692023</v>
      </c>
      <c r="AL12" s="9"/>
      <c r="AM12" s="9"/>
      <c r="AN12" s="9"/>
      <c r="AO12" s="9">
        <f t="shared" si="1"/>
        <v>802395</v>
      </c>
      <c r="AP12" s="9"/>
      <c r="AQ12" s="9"/>
      <c r="AR12" s="9"/>
      <c r="AS12" s="9">
        <f t="shared" si="1"/>
        <v>964532</v>
      </c>
    </row>
    <row r="21" spans="10:32" x14ac:dyDescent="0.25">
      <c r="J21" s="15"/>
      <c r="K21" s="15"/>
      <c r="L21" s="15"/>
    </row>
    <row r="22" spans="10:32" x14ac:dyDescent="0.25">
      <c r="J22" s="15"/>
      <c r="K22" s="15"/>
      <c r="L22" s="15"/>
    </row>
    <row r="23" spans="10:32" x14ac:dyDescent="0.25">
      <c r="J23" s="15"/>
      <c r="K23" s="15"/>
      <c r="L23" s="15"/>
    </row>
    <row r="24" spans="10:32" x14ac:dyDescent="0.25">
      <c r="J24" s="15"/>
      <c r="K24" s="15"/>
      <c r="L24" s="15"/>
    </row>
    <row r="25" spans="10:32" x14ac:dyDescent="0.25">
      <c r="J25" s="15"/>
      <c r="K25" s="15"/>
      <c r="L25" s="15"/>
    </row>
    <row r="30" spans="10:32" x14ac:dyDescent="0.25">
      <c r="AC30" s="16"/>
      <c r="AD30" s="16"/>
      <c r="AE30" s="16"/>
      <c r="AF30" s="16"/>
    </row>
    <row r="31" spans="10:32" x14ac:dyDescent="0.25">
      <c r="AC31" s="16"/>
      <c r="AD31" s="16"/>
      <c r="AE31" s="16"/>
      <c r="AF31" s="16"/>
    </row>
    <row r="32" spans="10:32" x14ac:dyDescent="0.25">
      <c r="AC32" s="15"/>
      <c r="AD32" s="15"/>
      <c r="AE32" s="15"/>
      <c r="AF32" s="15"/>
    </row>
    <row r="33" spans="29:32" x14ac:dyDescent="0.25">
      <c r="AC33" s="16"/>
      <c r="AD33" s="16"/>
      <c r="AE33" s="16"/>
      <c r="AF33" s="16"/>
    </row>
    <row r="34" spans="29:32" x14ac:dyDescent="0.25">
      <c r="AC34" s="16"/>
      <c r="AD34" s="16"/>
      <c r="AE34" s="16"/>
      <c r="AF34" s="16"/>
    </row>
  </sheetData>
  <mergeCells count="6">
    <mergeCell ref="A12:B12"/>
    <mergeCell ref="A2:AS2"/>
    <mergeCell ref="A4:A10"/>
    <mergeCell ref="B4:AS4"/>
    <mergeCell ref="B9:AS9"/>
    <mergeCell ref="A11:B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D1" workbookViewId="0">
      <selection activeCell="D1" sqref="A1:XFD1048576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7.85546875" customWidth="1"/>
    <col min="5" max="5" width="17.7109375" customWidth="1"/>
    <col min="6" max="6" width="17.5703125" customWidth="1"/>
    <col min="7" max="7" width="18.7109375" customWidth="1"/>
    <col min="8" max="8" width="17.28515625" customWidth="1"/>
    <col min="9" max="10" width="17.7109375" customWidth="1"/>
    <col min="11" max="11" width="20" customWidth="1"/>
    <col min="12" max="12" width="24.42578125" customWidth="1"/>
    <col min="13" max="13" width="21" customWidth="1"/>
    <col min="14" max="14" width="24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8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9" t="s">
        <v>36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5">
      <c r="A5" s="30"/>
      <c r="B5" s="6" t="s">
        <v>14</v>
      </c>
      <c r="C5" s="12">
        <v>618220</v>
      </c>
      <c r="D5" s="12">
        <f>564769+47805</f>
        <v>612574</v>
      </c>
      <c r="E5" s="12">
        <f>620348+42145</f>
        <v>662493</v>
      </c>
      <c r="F5" s="12">
        <f>15018+562152</f>
        <v>577170</v>
      </c>
      <c r="G5" s="12">
        <v>652305</v>
      </c>
      <c r="H5" s="7">
        <f>21661+616851</f>
        <v>638512</v>
      </c>
      <c r="I5" s="7">
        <f>681064+21920</f>
        <v>702984</v>
      </c>
      <c r="J5" s="7">
        <f>22532+694855</f>
        <v>717387</v>
      </c>
      <c r="K5" s="7">
        <f>22477+661292</f>
        <v>683769</v>
      </c>
      <c r="L5" s="7">
        <f>605839+29608</f>
        <v>635447</v>
      </c>
      <c r="M5" s="7">
        <f>493044+38275</f>
        <v>531319</v>
      </c>
      <c r="N5" s="7">
        <f>498894+54856</f>
        <v>553750</v>
      </c>
    </row>
    <row r="6" spans="1:14" x14ac:dyDescent="0.25">
      <c r="A6" s="30"/>
      <c r="B6" s="6" t="s">
        <v>15</v>
      </c>
      <c r="C6" s="12">
        <v>57982</v>
      </c>
      <c r="D6" s="12">
        <v>50806</v>
      </c>
      <c r="E6" s="12">
        <v>51709</v>
      </c>
      <c r="F6" s="12">
        <v>39214</v>
      </c>
      <c r="G6" s="12">
        <v>23942</v>
      </c>
      <c r="H6" s="7">
        <v>27212</v>
      </c>
      <c r="I6" s="7">
        <v>22698</v>
      </c>
      <c r="J6" s="12">
        <v>23041</v>
      </c>
      <c r="K6" s="12">
        <v>33344</v>
      </c>
      <c r="L6" s="12">
        <v>50267</v>
      </c>
      <c r="M6" s="12">
        <v>58185</v>
      </c>
      <c r="N6" s="12">
        <v>69321</v>
      </c>
    </row>
    <row r="7" spans="1:14" x14ac:dyDescent="0.25">
      <c r="A7" s="30"/>
      <c r="B7" s="6" t="s">
        <v>16</v>
      </c>
      <c r="C7" s="12">
        <v>333806</v>
      </c>
      <c r="D7" s="12">
        <v>414169</v>
      </c>
      <c r="E7" s="12">
        <v>282075</v>
      </c>
      <c r="F7" s="12">
        <v>183655</v>
      </c>
      <c r="G7" s="12">
        <v>166368</v>
      </c>
      <c r="H7" s="7">
        <f>108919+45</f>
        <v>108964</v>
      </c>
      <c r="I7" s="7">
        <v>88838</v>
      </c>
      <c r="J7" s="12">
        <v>104916</v>
      </c>
      <c r="K7" s="12">
        <v>116210</v>
      </c>
      <c r="L7" s="12">
        <v>204894</v>
      </c>
      <c r="M7" s="12">
        <v>330090</v>
      </c>
      <c r="N7" s="12">
        <v>378226</v>
      </c>
    </row>
    <row r="8" spans="1:14" x14ac:dyDescent="0.25">
      <c r="A8" s="30"/>
      <c r="B8" s="6" t="s">
        <v>17</v>
      </c>
      <c r="C8" s="12">
        <v>7236</v>
      </c>
      <c r="D8" s="12">
        <v>6309</v>
      </c>
      <c r="E8" s="12">
        <v>6648</v>
      </c>
      <c r="F8" s="12">
        <v>6237</v>
      </c>
      <c r="G8" s="12">
        <v>7451</v>
      </c>
      <c r="H8" s="7">
        <f>3019+3124</f>
        <v>6143</v>
      </c>
      <c r="I8" s="7">
        <v>5716</v>
      </c>
      <c r="J8" s="12">
        <v>5665</v>
      </c>
      <c r="K8" s="12">
        <v>6462</v>
      </c>
      <c r="L8" s="12">
        <v>6962</v>
      </c>
      <c r="M8" s="12">
        <v>6819</v>
      </c>
      <c r="N8" s="12">
        <v>7304</v>
      </c>
    </row>
    <row r="9" spans="1:14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6" t="s">
        <v>18</v>
      </c>
      <c r="B11" s="27"/>
      <c r="C11" s="9">
        <f t="shared" ref="C11:N11" si="0">SUM(C5:C8,C10)</f>
        <v>1017244</v>
      </c>
      <c r="D11" s="9">
        <f t="shared" si="0"/>
        <v>1083858</v>
      </c>
      <c r="E11" s="9">
        <f t="shared" si="0"/>
        <v>1002925</v>
      </c>
      <c r="F11" s="9">
        <f t="shared" si="0"/>
        <v>806276</v>
      </c>
      <c r="G11" s="9">
        <f t="shared" si="0"/>
        <v>850066</v>
      </c>
      <c r="H11" s="9">
        <f>SUM(H5:H8,H10)</f>
        <v>780831</v>
      </c>
      <c r="I11" s="9">
        <f>SUM(I5:I8,I10)</f>
        <v>820236</v>
      </c>
      <c r="J11" s="9">
        <f t="shared" si="0"/>
        <v>851009</v>
      </c>
      <c r="K11" s="9">
        <f t="shared" si="0"/>
        <v>839785</v>
      </c>
      <c r="L11" s="9">
        <f t="shared" si="0"/>
        <v>897570</v>
      </c>
      <c r="M11" s="9">
        <f t="shared" si="0"/>
        <v>926413</v>
      </c>
      <c r="N11" s="9">
        <f t="shared" si="0"/>
        <v>1008601</v>
      </c>
    </row>
    <row r="12" spans="1:14" x14ac:dyDescent="0.25">
      <c r="A12" s="26" t="s">
        <v>19</v>
      </c>
      <c r="B12" s="27"/>
      <c r="C12" s="9">
        <f>C11</f>
        <v>1017244</v>
      </c>
      <c r="D12" s="9">
        <f t="shared" ref="D12:N12" si="1">D11</f>
        <v>1083858</v>
      </c>
      <c r="E12" s="9">
        <f t="shared" si="1"/>
        <v>1002925</v>
      </c>
      <c r="F12" s="9">
        <f t="shared" si="1"/>
        <v>806276</v>
      </c>
      <c r="G12" s="9">
        <f t="shared" si="1"/>
        <v>850066</v>
      </c>
      <c r="H12" s="9">
        <f t="shared" si="1"/>
        <v>780831</v>
      </c>
      <c r="I12" s="9">
        <f t="shared" si="1"/>
        <v>820236</v>
      </c>
      <c r="J12" s="9">
        <f t="shared" si="1"/>
        <v>851009</v>
      </c>
      <c r="K12" s="9">
        <f t="shared" si="1"/>
        <v>839785</v>
      </c>
      <c r="L12" s="9">
        <f t="shared" si="1"/>
        <v>897570</v>
      </c>
      <c r="M12" s="9">
        <f t="shared" si="1"/>
        <v>926413</v>
      </c>
      <c r="N12" s="9">
        <f t="shared" si="1"/>
        <v>1008601</v>
      </c>
    </row>
    <row r="21" spans="5:10" x14ac:dyDescent="0.25">
      <c r="E21" s="15"/>
    </row>
    <row r="22" spans="5:10" x14ac:dyDescent="0.25">
      <c r="E22" s="15"/>
    </row>
    <row r="23" spans="5:10" x14ac:dyDescent="0.25">
      <c r="E23" s="15"/>
    </row>
    <row r="24" spans="5:10" x14ac:dyDescent="0.25">
      <c r="E24" s="15"/>
    </row>
    <row r="25" spans="5:10" x14ac:dyDescent="0.25">
      <c r="E25" s="15"/>
    </row>
    <row r="30" spans="5:10" x14ac:dyDescent="0.25">
      <c r="J30" s="16"/>
    </row>
    <row r="31" spans="5:10" x14ac:dyDescent="0.25">
      <c r="J31" s="16"/>
    </row>
    <row r="32" spans="5:10" x14ac:dyDescent="0.25">
      <c r="J32" s="15"/>
    </row>
    <row r="33" spans="10:10" x14ac:dyDescent="0.25">
      <c r="J33" s="16"/>
    </row>
    <row r="34" spans="10:10" x14ac:dyDescent="0.25">
      <c r="J34" s="16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B1" workbookViewId="0">
      <selection activeCell="N7" sqref="N7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7.85546875" customWidth="1"/>
    <col min="5" max="5" width="17.7109375" customWidth="1"/>
    <col min="6" max="6" width="17.5703125" customWidth="1"/>
    <col min="7" max="7" width="18.7109375" customWidth="1"/>
    <col min="8" max="8" width="17.28515625" customWidth="1"/>
    <col min="9" max="10" width="17.7109375" customWidth="1"/>
    <col min="11" max="11" width="20" customWidth="1"/>
    <col min="12" max="12" width="24.42578125" customWidth="1"/>
    <col min="13" max="13" width="21" customWidth="1"/>
    <col min="14" max="14" width="24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9" t="s">
        <v>36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5">
      <c r="A5" s="30"/>
      <c r="B5" s="6" t="s">
        <v>14</v>
      </c>
      <c r="C5" s="12">
        <f>548344+54755</f>
        <v>603099</v>
      </c>
      <c r="D5" s="12">
        <f>47579+589555</f>
        <v>637134</v>
      </c>
      <c r="E5" s="12">
        <f>680196+34570</f>
        <v>714766</v>
      </c>
      <c r="F5" s="12">
        <f>26914+631275</f>
        <v>658189</v>
      </c>
      <c r="G5" s="12">
        <f>724211+26914</f>
        <v>751125</v>
      </c>
      <c r="H5" s="7">
        <f>760453+22173</f>
        <v>782626</v>
      </c>
      <c r="I5" s="7">
        <f>831651+22734</f>
        <v>854385</v>
      </c>
      <c r="J5" s="7">
        <f>756380+21420</f>
        <v>777800</v>
      </c>
      <c r="K5" s="7">
        <f>656235+21782</f>
        <v>678017</v>
      </c>
      <c r="L5" s="7">
        <f>692872+26203</f>
        <v>719075</v>
      </c>
      <c r="M5" s="7">
        <f>26203+570764</f>
        <v>596967</v>
      </c>
      <c r="N5" s="7">
        <f>679181+42345</f>
        <v>721526</v>
      </c>
    </row>
    <row r="6" spans="1:14" x14ac:dyDescent="0.25">
      <c r="A6" s="30"/>
      <c r="B6" s="6" t="s">
        <v>15</v>
      </c>
      <c r="C6" s="12">
        <v>94088</v>
      </c>
      <c r="D6" s="12">
        <v>55980</v>
      </c>
      <c r="E6" s="12">
        <v>70134</v>
      </c>
      <c r="F6" s="12">
        <v>47949</v>
      </c>
      <c r="G6" s="12">
        <v>47949</v>
      </c>
      <c r="H6" s="7">
        <v>21208</v>
      </c>
      <c r="I6" s="7">
        <v>29534</v>
      </c>
      <c r="J6" s="12">
        <v>92876</v>
      </c>
      <c r="K6" s="12">
        <v>35576</v>
      </c>
      <c r="L6" s="12">
        <v>78291</v>
      </c>
      <c r="M6" s="12">
        <v>94815</v>
      </c>
      <c r="N6" s="12">
        <v>111062</v>
      </c>
    </row>
    <row r="7" spans="1:14" x14ac:dyDescent="0.25">
      <c r="A7" s="30"/>
      <c r="B7" s="6" t="s">
        <v>16</v>
      </c>
      <c r="C7" s="12">
        <v>424764</v>
      </c>
      <c r="D7" s="12">
        <v>348672</v>
      </c>
      <c r="E7" s="12">
        <v>264299</v>
      </c>
      <c r="F7" s="12">
        <v>193923</v>
      </c>
      <c r="G7" s="12">
        <f>25808+168115</f>
        <v>193923</v>
      </c>
      <c r="H7" s="7">
        <v>54273</v>
      </c>
      <c r="I7" s="7">
        <v>665083</v>
      </c>
      <c r="J7" s="12">
        <v>651066</v>
      </c>
      <c r="K7" s="12">
        <f>88170+628544</f>
        <v>716714</v>
      </c>
      <c r="L7" s="12">
        <f>168324+1095681</f>
        <v>1264005</v>
      </c>
      <c r="M7" s="12">
        <f>1183487+179889</f>
        <v>1363376</v>
      </c>
      <c r="N7" s="12">
        <f>1556546+220229</f>
        <v>1776775</v>
      </c>
    </row>
    <row r="8" spans="1:14" x14ac:dyDescent="0.25">
      <c r="A8" s="30"/>
      <c r="B8" s="6" t="s">
        <v>17</v>
      </c>
      <c r="C8" s="12">
        <v>4416</v>
      </c>
      <c r="D8" s="12">
        <v>3154</v>
      </c>
      <c r="E8" s="12">
        <v>3283</v>
      </c>
      <c r="F8" s="12">
        <v>3068</v>
      </c>
      <c r="G8" s="12">
        <f>2759+309</f>
        <v>3068</v>
      </c>
      <c r="H8" s="7">
        <v>2951</v>
      </c>
      <c r="I8" s="7">
        <v>4480</v>
      </c>
      <c r="J8" s="12">
        <v>4055</v>
      </c>
      <c r="K8" s="12">
        <f>4419+14133</f>
        <v>18552</v>
      </c>
      <c r="L8" s="12">
        <f>6819+5470</f>
        <v>12289</v>
      </c>
      <c r="M8" s="12">
        <f>6471+6839</f>
        <v>13310</v>
      </c>
      <c r="N8" s="12">
        <f>6137+6418</f>
        <v>12555</v>
      </c>
    </row>
    <row r="9" spans="1:14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6" t="s">
        <v>18</v>
      </c>
      <c r="B11" s="27"/>
      <c r="C11" s="9">
        <f t="shared" ref="C11:N11" si="0">SUM(C5:C8,C10)</f>
        <v>1126367</v>
      </c>
      <c r="D11" s="9">
        <f t="shared" si="0"/>
        <v>1044940</v>
      </c>
      <c r="E11" s="9">
        <f t="shared" si="0"/>
        <v>1052482</v>
      </c>
      <c r="F11" s="9">
        <f t="shared" si="0"/>
        <v>903129</v>
      </c>
      <c r="G11" s="9">
        <f t="shared" si="0"/>
        <v>996065</v>
      </c>
      <c r="H11" s="9">
        <f>SUM(H5:H8,H10)</f>
        <v>861058</v>
      </c>
      <c r="I11" s="9">
        <f>SUM(I5:I8,I10)</f>
        <v>1553482</v>
      </c>
      <c r="J11" s="9">
        <f t="shared" si="0"/>
        <v>1525797</v>
      </c>
      <c r="K11" s="9">
        <f t="shared" si="0"/>
        <v>1448859</v>
      </c>
      <c r="L11" s="9">
        <f t="shared" si="0"/>
        <v>2073660</v>
      </c>
      <c r="M11" s="9">
        <f t="shared" si="0"/>
        <v>2068468</v>
      </c>
      <c r="N11" s="9">
        <f t="shared" si="0"/>
        <v>2621918</v>
      </c>
    </row>
    <row r="12" spans="1:14" x14ac:dyDescent="0.25">
      <c r="A12" s="26" t="s">
        <v>19</v>
      </c>
      <c r="B12" s="27"/>
      <c r="C12" s="9">
        <f>C11</f>
        <v>1126367</v>
      </c>
      <c r="D12" s="9">
        <f t="shared" ref="D12:N12" si="1">D11</f>
        <v>1044940</v>
      </c>
      <c r="E12" s="9">
        <f t="shared" si="1"/>
        <v>1052482</v>
      </c>
      <c r="F12" s="9">
        <f t="shared" si="1"/>
        <v>903129</v>
      </c>
      <c r="G12" s="9">
        <f t="shared" si="1"/>
        <v>996065</v>
      </c>
      <c r="H12" s="9">
        <f t="shared" si="1"/>
        <v>861058</v>
      </c>
      <c r="I12" s="9">
        <f t="shared" si="1"/>
        <v>1553482</v>
      </c>
      <c r="J12" s="9">
        <f t="shared" si="1"/>
        <v>1525797</v>
      </c>
      <c r="K12" s="9">
        <f t="shared" si="1"/>
        <v>1448859</v>
      </c>
      <c r="L12" s="9">
        <f t="shared" si="1"/>
        <v>2073660</v>
      </c>
      <c r="M12" s="9">
        <f t="shared" si="1"/>
        <v>2068468</v>
      </c>
      <c r="N12" s="9">
        <f t="shared" si="1"/>
        <v>2621918</v>
      </c>
    </row>
    <row r="19" spans="5:13" x14ac:dyDescent="0.25">
      <c r="G19" s="22"/>
      <c r="H19" s="22"/>
      <c r="I19" s="22"/>
      <c r="J19" s="23"/>
      <c r="M19" s="25"/>
    </row>
    <row r="20" spans="5:13" x14ac:dyDescent="0.25">
      <c r="G20" s="22"/>
      <c r="H20" s="22"/>
      <c r="I20" s="22"/>
      <c r="J20" s="24"/>
    </row>
    <row r="21" spans="5:13" x14ac:dyDescent="0.25">
      <c r="E21" s="15"/>
      <c r="G21" s="22"/>
      <c r="H21" s="22"/>
      <c r="I21" s="22"/>
      <c r="J21" s="24"/>
    </row>
    <row r="22" spans="5:13" x14ac:dyDescent="0.25">
      <c r="E22" s="15"/>
      <c r="G22" s="22"/>
      <c r="H22" s="22"/>
      <c r="I22" s="22"/>
      <c r="J22" s="23"/>
    </row>
    <row r="23" spans="5:13" x14ac:dyDescent="0.25">
      <c r="E23" s="15"/>
      <c r="G23" s="22"/>
      <c r="H23" s="22"/>
      <c r="I23" s="22"/>
      <c r="J23" s="24"/>
    </row>
    <row r="24" spans="5:13" x14ac:dyDescent="0.25">
      <c r="E24" s="15"/>
      <c r="G24" s="22"/>
      <c r="H24" s="22"/>
      <c r="I24" s="22"/>
      <c r="J24" s="24"/>
    </row>
    <row r="25" spans="5:13" x14ac:dyDescent="0.25">
      <c r="E25" s="15"/>
      <c r="G25" s="22"/>
      <c r="H25" s="22"/>
      <c r="I25" s="22"/>
      <c r="J25" s="24"/>
    </row>
    <row r="26" spans="5:13" x14ac:dyDescent="0.25">
      <c r="G26" s="22"/>
      <c r="H26" s="22"/>
      <c r="I26" s="22"/>
      <c r="J26" s="24"/>
    </row>
    <row r="30" spans="5:13" x14ac:dyDescent="0.25">
      <c r="J30" s="16"/>
    </row>
    <row r="31" spans="5:13" x14ac:dyDescent="0.25">
      <c r="J31" s="16"/>
    </row>
    <row r="32" spans="5:13" x14ac:dyDescent="0.25">
      <c r="J32" s="15"/>
    </row>
    <row r="33" spans="10:10" x14ac:dyDescent="0.25">
      <c r="J33" s="16"/>
    </row>
    <row r="34" spans="10:10" x14ac:dyDescent="0.25">
      <c r="J34" s="16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A11" sqref="A11:B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9" t="s">
        <v>27</v>
      </c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22.5" customHeight="1" x14ac:dyDescent="0.25">
      <c r="A5" s="30"/>
      <c r="B5" s="6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2.5" customHeight="1" x14ac:dyDescent="0.25">
      <c r="A6" s="30"/>
      <c r="B6" s="6" t="s">
        <v>15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2.5" customHeight="1" x14ac:dyDescent="0.25">
      <c r="A7" s="30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2.5" customHeight="1" x14ac:dyDescent="0.25">
      <c r="A8" s="30"/>
      <c r="B8" s="6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2.5" customHeight="1" x14ac:dyDescent="0.25">
      <c r="A9" s="30"/>
      <c r="B9" s="31" t="s">
        <v>21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ht="22.5" customHeight="1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2.5" customHeight="1" x14ac:dyDescent="0.25">
      <c r="A11" s="26" t="s">
        <v>18</v>
      </c>
      <c r="B11" s="27"/>
      <c r="C11" s="9">
        <f t="shared" ref="C11:N11" si="0">SUM(C5:C8,C10)</f>
        <v>0</v>
      </c>
      <c r="D11" s="9">
        <f t="shared" si="0"/>
        <v>0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</row>
    <row r="12" spans="1:14" s="10" customFormat="1" ht="22.5" customHeight="1" x14ac:dyDescent="0.2">
      <c r="A12" s="26" t="s">
        <v>19</v>
      </c>
      <c r="B12" s="27"/>
      <c r="C12" s="9">
        <f>C11</f>
        <v>0</v>
      </c>
      <c r="D12" s="9">
        <f t="shared" ref="D12:N12" si="1">D11</f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>
      <selection activeCell="A11" sqref="A11:B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9" t="s">
        <v>27</v>
      </c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22.5" customHeight="1" x14ac:dyDescent="0.25">
      <c r="A5" s="30"/>
      <c r="B5" s="6" t="s">
        <v>14</v>
      </c>
      <c r="C5" s="7">
        <v>520923</v>
      </c>
      <c r="D5" s="7">
        <v>545066</v>
      </c>
      <c r="E5" s="7">
        <v>605966</v>
      </c>
      <c r="F5" s="7">
        <v>710054</v>
      </c>
      <c r="G5" s="7">
        <v>767264</v>
      </c>
      <c r="H5" s="7">
        <v>817909</v>
      </c>
      <c r="I5" s="7">
        <v>863536</v>
      </c>
      <c r="J5" s="7">
        <v>786384</v>
      </c>
      <c r="K5" s="7">
        <v>723794</v>
      </c>
      <c r="L5" s="7">
        <v>766211</v>
      </c>
      <c r="M5" s="7">
        <v>725626</v>
      </c>
      <c r="N5" s="7">
        <v>772319</v>
      </c>
    </row>
    <row r="6" spans="1:14" ht="22.5" customHeight="1" x14ac:dyDescent="0.25">
      <c r="A6" s="30"/>
      <c r="B6" s="6" t="s">
        <v>15</v>
      </c>
      <c r="C6" s="7">
        <v>41535</v>
      </c>
      <c r="D6" s="7">
        <v>35033</v>
      </c>
      <c r="E6" s="7">
        <v>36806</v>
      </c>
      <c r="F6" s="7">
        <v>30655</v>
      </c>
      <c r="G6" s="7">
        <v>18167</v>
      </c>
      <c r="H6" s="7">
        <v>12969</v>
      </c>
      <c r="I6" s="7">
        <v>9769</v>
      </c>
      <c r="J6" s="7">
        <v>5783</v>
      </c>
      <c r="K6" s="7">
        <v>37819</v>
      </c>
      <c r="L6" s="7">
        <v>53843</v>
      </c>
      <c r="M6" s="7">
        <f>'[1]расчет цен '!$H$15</f>
        <v>1159.5994222475499</v>
      </c>
      <c r="N6" s="7">
        <v>64495.000000000007</v>
      </c>
    </row>
    <row r="7" spans="1:14" ht="22.5" customHeight="1" x14ac:dyDescent="0.25">
      <c r="A7" s="30"/>
      <c r="B7" s="6" t="s">
        <v>16</v>
      </c>
      <c r="C7" s="7">
        <v>298002</v>
      </c>
      <c r="D7" s="7">
        <v>355938</v>
      </c>
      <c r="E7" s="7">
        <v>225987</v>
      </c>
      <c r="F7" s="7">
        <v>161110</v>
      </c>
      <c r="G7" s="7">
        <v>101008</v>
      </c>
      <c r="H7" s="7">
        <v>47319</v>
      </c>
      <c r="I7" s="7">
        <v>43617</v>
      </c>
      <c r="J7" s="7">
        <v>34882</v>
      </c>
      <c r="K7" s="7">
        <v>49602</v>
      </c>
      <c r="L7" s="7">
        <v>139000</v>
      </c>
      <c r="M7" s="7">
        <f>'[1]расчет цен '!$H$16+'[1]расчет цен '!$H$17+'[1]расчет цен '!$H$18</f>
        <v>3478.7982667426495</v>
      </c>
      <c r="N7" s="7">
        <v>214789</v>
      </c>
    </row>
    <row r="8" spans="1:14" ht="22.5" customHeight="1" x14ac:dyDescent="0.25">
      <c r="A8" s="30"/>
      <c r="B8" s="6" t="s">
        <v>17</v>
      </c>
      <c r="C8" s="7">
        <v>5568</v>
      </c>
      <c r="D8" s="7">
        <v>4334</v>
      </c>
      <c r="E8" s="7">
        <v>4320</v>
      </c>
      <c r="F8" s="7">
        <v>3918</v>
      </c>
      <c r="G8" s="7">
        <v>3110</v>
      </c>
      <c r="H8" s="7">
        <v>2032</v>
      </c>
      <c r="I8" s="7">
        <v>2133</v>
      </c>
      <c r="J8" s="7">
        <v>1891</v>
      </c>
      <c r="K8" s="7">
        <v>2654</v>
      </c>
      <c r="L8" s="7">
        <v>7842</v>
      </c>
      <c r="M8" s="7">
        <f>'[1]расчет цен '!$H$19</f>
        <v>1159.5994222475499</v>
      </c>
      <c r="N8" s="7">
        <v>4295</v>
      </c>
    </row>
    <row r="9" spans="1:14" ht="22.5" customHeight="1" x14ac:dyDescent="0.25">
      <c r="A9" s="30"/>
      <c r="B9" s="31" t="s">
        <v>21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ht="22.5" customHeight="1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2.5" customHeight="1" x14ac:dyDescent="0.25">
      <c r="A11" s="26" t="s">
        <v>18</v>
      </c>
      <c r="B11" s="27"/>
      <c r="C11" s="9">
        <f t="shared" ref="C11:N11" si="0">SUM(C5:C8,C10)</f>
        <v>866028</v>
      </c>
      <c r="D11" s="9">
        <f t="shared" si="0"/>
        <v>940371</v>
      </c>
      <c r="E11" s="9">
        <f t="shared" si="0"/>
        <v>873079</v>
      </c>
      <c r="F11" s="9">
        <f t="shared" si="0"/>
        <v>905737</v>
      </c>
      <c r="G11" s="9">
        <f t="shared" si="0"/>
        <v>889549</v>
      </c>
      <c r="H11" s="9">
        <f t="shared" si="0"/>
        <v>880229</v>
      </c>
      <c r="I11" s="9">
        <f t="shared" si="0"/>
        <v>919055</v>
      </c>
      <c r="J11" s="9">
        <f t="shared" si="0"/>
        <v>828940</v>
      </c>
      <c r="K11" s="9">
        <f t="shared" si="0"/>
        <v>813869</v>
      </c>
      <c r="L11" s="9">
        <f t="shared" si="0"/>
        <v>966896</v>
      </c>
      <c r="M11" s="9">
        <f t="shared" si="0"/>
        <v>731423.99711123761</v>
      </c>
      <c r="N11" s="9">
        <f t="shared" si="0"/>
        <v>1055898</v>
      </c>
    </row>
    <row r="12" spans="1:14" s="10" customFormat="1" ht="22.5" customHeight="1" x14ac:dyDescent="0.2">
      <c r="A12" s="26" t="s">
        <v>19</v>
      </c>
      <c r="B12" s="27"/>
      <c r="C12" s="9">
        <f>C11</f>
        <v>866028</v>
      </c>
      <c r="D12" s="9">
        <f t="shared" ref="D12:M12" si="1">D11</f>
        <v>940371</v>
      </c>
      <c r="E12" s="9">
        <f t="shared" si="1"/>
        <v>873079</v>
      </c>
      <c r="F12" s="9">
        <f t="shared" si="1"/>
        <v>905737</v>
      </c>
      <c r="G12" s="9">
        <f t="shared" si="1"/>
        <v>889549</v>
      </c>
      <c r="H12" s="9">
        <f t="shared" si="1"/>
        <v>880229</v>
      </c>
      <c r="I12" s="9">
        <f t="shared" si="1"/>
        <v>919055</v>
      </c>
      <c r="J12" s="9">
        <f t="shared" si="1"/>
        <v>828940</v>
      </c>
      <c r="K12" s="9">
        <f t="shared" si="1"/>
        <v>813869</v>
      </c>
      <c r="L12" s="9">
        <f t="shared" si="1"/>
        <v>966896</v>
      </c>
      <c r="M12" s="9">
        <f t="shared" si="1"/>
        <v>731423.99711123761</v>
      </c>
      <c r="N12" s="9">
        <f t="shared" ref="N12" si="2">N11</f>
        <v>1055898</v>
      </c>
    </row>
    <row r="16" spans="1:14" ht="22.5" customHeight="1" x14ac:dyDescent="0.25">
      <c r="C16" s="11"/>
      <c r="D16" s="11"/>
      <c r="E16" s="11"/>
      <c r="F16" s="11"/>
      <c r="G16" s="11"/>
      <c r="H16" s="11"/>
      <c r="I16" s="11"/>
    </row>
    <row r="17" spans="3:9" ht="22.5" customHeight="1" x14ac:dyDescent="0.25">
      <c r="C17" s="11"/>
      <c r="D17" s="11"/>
      <c r="E17" s="11"/>
      <c r="F17" s="11"/>
      <c r="G17" s="11"/>
      <c r="H17" s="11"/>
      <c r="I17" s="11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70" zoomScaleNormal="70" workbookViewId="0">
      <selection sqref="A1: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9" t="s">
        <v>26</v>
      </c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22.5" customHeight="1" x14ac:dyDescent="0.25">
      <c r="A5" s="30"/>
      <c r="B5" s="6" t="s">
        <v>14</v>
      </c>
      <c r="C5" s="7">
        <v>772319</v>
      </c>
      <c r="D5" s="7">
        <v>719261</v>
      </c>
      <c r="E5" s="7">
        <v>804941</v>
      </c>
      <c r="F5" s="7">
        <v>737283</v>
      </c>
      <c r="G5" s="7">
        <v>749745</v>
      </c>
      <c r="H5" s="12">
        <f>11729+728712</f>
        <v>740441</v>
      </c>
      <c r="I5" s="7">
        <f>11091+1916+763567</f>
        <v>776574</v>
      </c>
      <c r="J5" s="7">
        <f>10325+430+732766</f>
        <v>743521</v>
      </c>
      <c r="K5" s="7">
        <f>563758+15698</f>
        <v>579456</v>
      </c>
      <c r="L5" s="12">
        <f>22363+578880</f>
        <v>601243</v>
      </c>
      <c r="M5" s="12">
        <f>37569+671471</f>
        <v>709040</v>
      </c>
      <c r="N5" s="12">
        <f>44416+726464</f>
        <v>770880</v>
      </c>
    </row>
    <row r="6" spans="1:14" ht="22.5" customHeight="1" x14ac:dyDescent="0.25">
      <c r="A6" s="30"/>
      <c r="B6" s="6" t="s">
        <v>15</v>
      </c>
      <c r="C6" s="7">
        <v>64495.000000000007</v>
      </c>
      <c r="D6" s="7">
        <v>53760</v>
      </c>
      <c r="E6" s="7">
        <v>55963</v>
      </c>
      <c r="F6" s="12">
        <v>37305</v>
      </c>
      <c r="G6" s="12">
        <v>19541</v>
      </c>
      <c r="H6" s="12">
        <v>21201</v>
      </c>
      <c r="I6" s="12">
        <v>13272</v>
      </c>
      <c r="J6" s="12">
        <v>13680</v>
      </c>
      <c r="K6" s="7">
        <v>24495</v>
      </c>
      <c r="L6" s="12">
        <v>45684</v>
      </c>
      <c r="M6" s="12">
        <v>74729</v>
      </c>
      <c r="N6" s="12">
        <v>8775</v>
      </c>
    </row>
    <row r="7" spans="1:14" ht="22.5" customHeight="1" x14ac:dyDescent="0.25">
      <c r="A7" s="30"/>
      <c r="B7" s="6" t="s">
        <v>16</v>
      </c>
      <c r="C7" s="7">
        <v>214789</v>
      </c>
      <c r="D7" s="7">
        <v>233010</v>
      </c>
      <c r="E7" s="7">
        <v>202575.00000000003</v>
      </c>
      <c r="F7" s="12">
        <v>141759</v>
      </c>
      <c r="G7" s="12">
        <v>81315</v>
      </c>
      <c r="H7" s="12">
        <v>64314</v>
      </c>
      <c r="I7" s="12">
        <f>3869+54472</f>
        <v>58341</v>
      </c>
      <c r="J7" s="12">
        <f>2369+53829</f>
        <v>56198</v>
      </c>
      <c r="K7" s="7">
        <v>150048</v>
      </c>
      <c r="L7" s="12">
        <v>162378</v>
      </c>
      <c r="M7" s="12">
        <v>255856</v>
      </c>
      <c r="N7" s="12">
        <v>290188</v>
      </c>
    </row>
    <row r="8" spans="1:14" ht="22.5" customHeight="1" x14ac:dyDescent="0.25">
      <c r="A8" s="30"/>
      <c r="B8" s="6" t="s">
        <v>17</v>
      </c>
      <c r="C8" s="7">
        <v>4295</v>
      </c>
      <c r="D8" s="7">
        <v>4828</v>
      </c>
      <c r="E8" s="7">
        <v>4075.9999999999995</v>
      </c>
      <c r="F8" s="12">
        <v>3689</v>
      </c>
      <c r="G8" s="12">
        <v>2807</v>
      </c>
      <c r="H8" s="12">
        <v>2697</v>
      </c>
      <c r="I8" s="12">
        <v>4741</v>
      </c>
      <c r="J8" s="12">
        <v>4987</v>
      </c>
      <c r="K8" s="7">
        <v>7072</v>
      </c>
      <c r="L8" s="12">
        <v>4362</v>
      </c>
      <c r="M8" s="12">
        <v>4878</v>
      </c>
      <c r="N8" s="12">
        <v>4680</v>
      </c>
    </row>
    <row r="9" spans="1:14" ht="22.5" customHeight="1" x14ac:dyDescent="0.25">
      <c r="A9" s="30"/>
      <c r="B9" s="31" t="s">
        <v>21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ht="22.5" customHeight="1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2.5" customHeight="1" x14ac:dyDescent="0.25">
      <c r="A11" s="26" t="s">
        <v>18</v>
      </c>
      <c r="B11" s="27"/>
      <c r="C11" s="9">
        <f t="shared" ref="C11:N11" si="0">SUM(C5:C8,C10)</f>
        <v>1055898</v>
      </c>
      <c r="D11" s="9">
        <f t="shared" si="0"/>
        <v>1010859</v>
      </c>
      <c r="E11" s="9">
        <f t="shared" si="0"/>
        <v>1067555</v>
      </c>
      <c r="F11" s="9">
        <f t="shared" si="0"/>
        <v>920036</v>
      </c>
      <c r="G11" s="9">
        <f t="shared" si="0"/>
        <v>853408</v>
      </c>
      <c r="H11" s="9">
        <f t="shared" si="0"/>
        <v>828653</v>
      </c>
      <c r="I11" s="9">
        <f t="shared" si="0"/>
        <v>852928</v>
      </c>
      <c r="J11" s="9">
        <f t="shared" si="0"/>
        <v>818386</v>
      </c>
      <c r="K11" s="9">
        <f t="shared" si="0"/>
        <v>761071</v>
      </c>
      <c r="L11" s="9">
        <f t="shared" si="0"/>
        <v>813667</v>
      </c>
      <c r="M11" s="9">
        <f t="shared" si="0"/>
        <v>1044503</v>
      </c>
      <c r="N11" s="9">
        <f t="shared" si="0"/>
        <v>1074523</v>
      </c>
    </row>
    <row r="12" spans="1:14" s="10" customFormat="1" ht="22.5" customHeight="1" x14ac:dyDescent="0.2">
      <c r="A12" s="26" t="s">
        <v>19</v>
      </c>
      <c r="B12" s="27"/>
      <c r="C12" s="9">
        <f>C11</f>
        <v>1055898</v>
      </c>
      <c r="D12" s="9">
        <f t="shared" ref="D12:N12" si="1">D11</f>
        <v>1010859</v>
      </c>
      <c r="E12" s="9">
        <f t="shared" si="1"/>
        <v>1067555</v>
      </c>
      <c r="F12" s="9">
        <f t="shared" si="1"/>
        <v>920036</v>
      </c>
      <c r="G12" s="9">
        <f t="shared" si="1"/>
        <v>853408</v>
      </c>
      <c r="H12" s="9">
        <f t="shared" si="1"/>
        <v>828653</v>
      </c>
      <c r="I12" s="9">
        <f t="shared" si="1"/>
        <v>852928</v>
      </c>
      <c r="J12" s="9">
        <f t="shared" si="1"/>
        <v>818386</v>
      </c>
      <c r="K12" s="9">
        <f t="shared" si="1"/>
        <v>761071</v>
      </c>
      <c r="L12" s="9">
        <f t="shared" si="1"/>
        <v>813667</v>
      </c>
      <c r="M12" s="9">
        <f t="shared" si="1"/>
        <v>1044503</v>
      </c>
      <c r="N12" s="9">
        <f t="shared" si="1"/>
        <v>1074523</v>
      </c>
    </row>
    <row r="16" spans="1:14" ht="22.5" customHeight="1" x14ac:dyDescent="0.25">
      <c r="C16" s="11"/>
      <c r="D16" s="11"/>
      <c r="E16" s="11"/>
      <c r="F16" s="11"/>
      <c r="G16" s="11"/>
      <c r="H16" s="11"/>
      <c r="I16" s="11"/>
    </row>
    <row r="17" spans="3:13" ht="22.5" customHeight="1" x14ac:dyDescent="0.25">
      <c r="C17" s="11"/>
      <c r="D17" s="11"/>
      <c r="E17" s="11"/>
      <c r="F17" s="11"/>
      <c r="G17" s="11"/>
      <c r="H17" s="13"/>
      <c r="I17" s="11"/>
    </row>
    <row r="18" spans="3:13" ht="22.5" customHeight="1" x14ac:dyDescent="0.25">
      <c r="H18" s="13"/>
      <c r="M18" s="14"/>
    </row>
    <row r="19" spans="3:13" ht="22.5" customHeight="1" x14ac:dyDescent="0.25">
      <c r="H19" s="13"/>
    </row>
    <row r="20" spans="3:13" ht="22.5" customHeight="1" x14ac:dyDescent="0.25">
      <c r="H20" s="13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M35" sqref="M35:M36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7.85546875" customWidth="1"/>
    <col min="5" max="5" width="17.7109375" customWidth="1"/>
    <col min="6" max="6" width="17.5703125" customWidth="1"/>
    <col min="7" max="7" width="18.7109375" customWidth="1"/>
    <col min="8" max="8" width="17.28515625" customWidth="1"/>
    <col min="9" max="10" width="17.7109375" customWidth="1"/>
    <col min="11" max="11" width="20" customWidth="1"/>
    <col min="12" max="12" width="24.42578125" customWidth="1"/>
    <col min="13" max="13" width="21" customWidth="1"/>
    <col min="14" max="14" width="24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9" t="s">
        <v>26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5">
      <c r="A5" s="30"/>
      <c r="B5" s="6" t="s">
        <v>14</v>
      </c>
      <c r="C5" s="12">
        <f>39768+524013</f>
        <v>563781</v>
      </c>
      <c r="D5" s="12">
        <f>574129+32497</f>
        <v>606626</v>
      </c>
      <c r="E5" s="7">
        <f>28213+702336</f>
        <v>730549</v>
      </c>
      <c r="F5" s="7">
        <f>21666+695197</f>
        <v>716863</v>
      </c>
      <c r="G5" s="7">
        <f>17520+573226</f>
        <v>590746</v>
      </c>
      <c r="H5" s="12">
        <f>14335+556125</f>
        <v>570460</v>
      </c>
      <c r="I5" s="7">
        <f>608950+13418</f>
        <v>622368</v>
      </c>
      <c r="J5" s="7">
        <f>13737+531211</f>
        <v>544948</v>
      </c>
      <c r="K5" s="7">
        <f>13148+356645</f>
        <v>369793</v>
      </c>
      <c r="L5" s="12">
        <v>409195</v>
      </c>
      <c r="M5" s="12">
        <v>567078</v>
      </c>
      <c r="N5" s="12">
        <f>39846+462268</f>
        <v>502114</v>
      </c>
    </row>
    <row r="6" spans="1:14" x14ac:dyDescent="0.25">
      <c r="A6" s="30"/>
      <c r="B6" s="6" t="s">
        <v>15</v>
      </c>
      <c r="C6" s="12">
        <v>80630</v>
      </c>
      <c r="D6" s="12">
        <v>59122</v>
      </c>
      <c r="E6" s="7">
        <v>59169</v>
      </c>
      <c r="F6" s="12">
        <v>47249</v>
      </c>
      <c r="G6" s="12">
        <v>41014</v>
      </c>
      <c r="H6" s="12">
        <v>22710</v>
      </c>
      <c r="I6" s="12">
        <v>17975</v>
      </c>
      <c r="J6" s="12">
        <v>16622</v>
      </c>
      <c r="K6" s="12">
        <v>22348</v>
      </c>
      <c r="L6" s="12">
        <v>37487</v>
      </c>
      <c r="M6" s="12">
        <v>38317</v>
      </c>
      <c r="N6" s="12">
        <v>46803</v>
      </c>
    </row>
    <row r="7" spans="1:14" x14ac:dyDescent="0.25">
      <c r="A7" s="30"/>
      <c r="B7" s="6" t="s">
        <v>16</v>
      </c>
      <c r="C7" s="12">
        <v>314855</v>
      </c>
      <c r="D7" s="12">
        <v>281125</v>
      </c>
      <c r="E7" s="7">
        <v>232041</v>
      </c>
      <c r="F7" s="12">
        <v>171664</v>
      </c>
      <c r="G7" s="12">
        <v>146884</v>
      </c>
      <c r="H7" s="12">
        <v>100620</v>
      </c>
      <c r="I7" s="12">
        <v>102553</v>
      </c>
      <c r="J7" s="12">
        <v>86690</v>
      </c>
      <c r="K7" s="12">
        <v>123600</v>
      </c>
      <c r="L7" s="12">
        <v>268793</v>
      </c>
      <c r="M7" s="12">
        <v>291036</v>
      </c>
      <c r="N7" s="12">
        <v>401408</v>
      </c>
    </row>
    <row r="8" spans="1:14" x14ac:dyDescent="0.25">
      <c r="A8" s="30"/>
      <c r="B8" s="6" t="s">
        <v>17</v>
      </c>
      <c r="C8" s="12">
        <v>5713</v>
      </c>
      <c r="D8" s="12">
        <v>4728</v>
      </c>
      <c r="E8" s="7">
        <v>4368</v>
      </c>
      <c r="F8" s="12">
        <v>3398</v>
      </c>
      <c r="G8" s="12">
        <v>3285</v>
      </c>
      <c r="H8" s="12">
        <v>2825</v>
      </c>
      <c r="I8" s="12">
        <v>2795</v>
      </c>
      <c r="J8" s="12">
        <v>2874</v>
      </c>
      <c r="K8" s="12">
        <v>3026</v>
      </c>
      <c r="L8" s="12">
        <v>6166</v>
      </c>
      <c r="M8" s="12">
        <v>13573</v>
      </c>
      <c r="N8" s="12">
        <v>4873</v>
      </c>
    </row>
    <row r="9" spans="1:14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6" t="s">
        <v>18</v>
      </c>
      <c r="B11" s="27"/>
      <c r="C11" s="9">
        <f t="shared" ref="C11:N11" si="0">SUM(C5:C8,C10)</f>
        <v>964979</v>
      </c>
      <c r="D11" s="9">
        <f t="shared" si="0"/>
        <v>951601</v>
      </c>
      <c r="E11" s="9">
        <f t="shared" si="0"/>
        <v>1026127</v>
      </c>
      <c r="F11" s="9">
        <f t="shared" si="0"/>
        <v>939174</v>
      </c>
      <c r="G11" s="9">
        <f t="shared" ref="G11" si="1">SUM(G5:G8,G10)</f>
        <v>781929</v>
      </c>
      <c r="H11" s="9">
        <f t="shared" si="0"/>
        <v>696615</v>
      </c>
      <c r="I11" s="9">
        <f t="shared" ref="I11:J11" si="2">SUM(I5:I8,I10)</f>
        <v>745691</v>
      </c>
      <c r="J11" s="9">
        <f t="shared" si="2"/>
        <v>651134</v>
      </c>
      <c r="K11" s="9">
        <f t="shared" si="0"/>
        <v>518767</v>
      </c>
      <c r="L11" s="9">
        <f t="shared" si="0"/>
        <v>721641</v>
      </c>
      <c r="M11" s="9">
        <f t="shared" si="0"/>
        <v>910004</v>
      </c>
      <c r="N11" s="9">
        <f t="shared" si="0"/>
        <v>955198</v>
      </c>
    </row>
    <row r="12" spans="1:14" x14ac:dyDescent="0.25">
      <c r="A12" s="26" t="s">
        <v>19</v>
      </c>
      <c r="B12" s="27"/>
      <c r="C12" s="9">
        <f>C11</f>
        <v>964979</v>
      </c>
      <c r="D12" s="9">
        <f t="shared" ref="D12:N12" si="3">D11</f>
        <v>951601</v>
      </c>
      <c r="E12" s="9">
        <f t="shared" si="3"/>
        <v>1026127</v>
      </c>
      <c r="F12" s="9">
        <f t="shared" si="3"/>
        <v>939174</v>
      </c>
      <c r="G12" s="9">
        <f t="shared" ref="G12" si="4">G11</f>
        <v>781929</v>
      </c>
      <c r="H12" s="9">
        <f t="shared" si="3"/>
        <v>696615</v>
      </c>
      <c r="I12" s="9">
        <f t="shared" ref="I12:J12" si="5">I11</f>
        <v>745691</v>
      </c>
      <c r="J12" s="9">
        <f t="shared" si="5"/>
        <v>651134</v>
      </c>
      <c r="K12" s="9">
        <f t="shared" si="3"/>
        <v>518767</v>
      </c>
      <c r="L12" s="9">
        <f t="shared" si="3"/>
        <v>721641</v>
      </c>
      <c r="M12" s="9">
        <f t="shared" si="3"/>
        <v>910004</v>
      </c>
      <c r="N12" s="9">
        <f t="shared" si="3"/>
        <v>955198</v>
      </c>
    </row>
    <row r="21" spans="5:10" x14ac:dyDescent="0.25">
      <c r="E21" s="15"/>
    </row>
    <row r="22" spans="5:10" x14ac:dyDescent="0.25">
      <c r="E22" s="15"/>
    </row>
    <row r="23" spans="5:10" x14ac:dyDescent="0.25">
      <c r="E23" s="15"/>
    </row>
    <row r="24" spans="5:10" x14ac:dyDescent="0.25">
      <c r="E24" s="15"/>
    </row>
    <row r="25" spans="5:10" x14ac:dyDescent="0.25">
      <c r="E25" s="15"/>
    </row>
    <row r="30" spans="5:10" x14ac:dyDescent="0.25">
      <c r="J30" s="16"/>
    </row>
    <row r="31" spans="5:10" x14ac:dyDescent="0.25">
      <c r="J31" s="16"/>
    </row>
    <row r="32" spans="5:10" x14ac:dyDescent="0.25">
      <c r="J32" s="15"/>
    </row>
    <row r="33" spans="10:10" x14ac:dyDescent="0.25">
      <c r="J33" s="16"/>
    </row>
    <row r="34" spans="10:10" x14ac:dyDescent="0.25">
      <c r="J34" s="16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5" zoomScaleNormal="75" workbookViewId="0">
      <selection activeCell="M26" sqref="M26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7.85546875" customWidth="1"/>
    <col min="5" max="5" width="17.7109375" customWidth="1"/>
    <col min="6" max="6" width="17.5703125" customWidth="1"/>
    <col min="7" max="7" width="18.7109375" customWidth="1"/>
    <col min="8" max="8" width="17.28515625" customWidth="1"/>
    <col min="9" max="10" width="17.7109375" customWidth="1"/>
    <col min="11" max="11" width="20" customWidth="1"/>
    <col min="12" max="12" width="24.42578125" customWidth="1"/>
    <col min="13" max="13" width="21" customWidth="1"/>
    <col min="14" max="14" width="24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9" t="s">
        <v>37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5">
      <c r="A5" s="30"/>
      <c r="B5" s="6" t="s">
        <v>14</v>
      </c>
      <c r="C5" s="12">
        <v>516083</v>
      </c>
      <c r="D5" s="12">
        <f>40503+482834</f>
        <v>523337</v>
      </c>
      <c r="E5" s="7">
        <f>458244+38004</f>
        <v>496248</v>
      </c>
      <c r="F5" s="7">
        <f>27838+558633</f>
        <v>586471</v>
      </c>
      <c r="G5" s="7">
        <f>617939+19149</f>
        <v>637088</v>
      </c>
      <c r="H5" s="7">
        <f>529683+19107</f>
        <v>548790</v>
      </c>
      <c r="I5" s="7">
        <f>14629+588246</f>
        <v>602875</v>
      </c>
      <c r="J5" s="7">
        <f>507083+17524</f>
        <v>524607</v>
      </c>
      <c r="K5" s="7">
        <f>411746+23043</f>
        <v>434789</v>
      </c>
      <c r="L5" s="7">
        <f>34557+313900</f>
        <v>348457</v>
      </c>
      <c r="M5" s="7">
        <f>39970+487538</f>
        <v>527508</v>
      </c>
      <c r="N5" s="7">
        <f>423741+50112</f>
        <v>473853</v>
      </c>
    </row>
    <row r="6" spans="1:14" x14ac:dyDescent="0.25">
      <c r="A6" s="30"/>
      <c r="B6" s="6" t="s">
        <v>15</v>
      </c>
      <c r="C6" s="12">
        <v>47004</v>
      </c>
      <c r="D6" s="12">
        <v>44256</v>
      </c>
      <c r="E6" s="7">
        <v>48321</v>
      </c>
      <c r="F6" s="12">
        <v>36336</v>
      </c>
      <c r="G6" s="12">
        <v>25025</v>
      </c>
      <c r="H6" s="12">
        <v>22583</v>
      </c>
      <c r="I6" s="12">
        <v>18228</v>
      </c>
      <c r="J6" s="12">
        <v>18846</v>
      </c>
      <c r="K6" s="12">
        <v>22389</v>
      </c>
      <c r="L6" s="12">
        <v>33117</v>
      </c>
      <c r="M6" s="12">
        <v>38466</v>
      </c>
      <c r="N6" s="12">
        <v>45593</v>
      </c>
    </row>
    <row r="7" spans="1:14" x14ac:dyDescent="0.25">
      <c r="A7" s="30"/>
      <c r="B7" s="6" t="s">
        <v>16</v>
      </c>
      <c r="C7" s="12">
        <v>380510</v>
      </c>
      <c r="D7" s="12">
        <v>365888</v>
      </c>
      <c r="E7" s="7">
        <v>374572</v>
      </c>
      <c r="F7" s="12">
        <v>242709</v>
      </c>
      <c r="G7" s="12">
        <v>108916</v>
      </c>
      <c r="H7" s="12">
        <v>147084</v>
      </c>
      <c r="I7" s="12">
        <v>98373</v>
      </c>
      <c r="J7" s="12">
        <v>90790</v>
      </c>
      <c r="K7" s="12">
        <v>133483</v>
      </c>
      <c r="L7" s="12">
        <v>229328</v>
      </c>
      <c r="M7" s="12">
        <v>329603</v>
      </c>
      <c r="N7" s="12">
        <v>372623</v>
      </c>
    </row>
    <row r="8" spans="1:14" x14ac:dyDescent="0.25">
      <c r="A8" s="30"/>
      <c r="B8" s="6" t="s">
        <v>17</v>
      </c>
      <c r="C8" s="12">
        <v>5167</v>
      </c>
      <c r="D8" s="12">
        <v>8571</v>
      </c>
      <c r="E8" s="7">
        <v>7589</v>
      </c>
      <c r="F8" s="12">
        <v>7733</v>
      </c>
      <c r="G8" s="12">
        <v>5526</v>
      </c>
      <c r="H8" s="12">
        <v>5856</v>
      </c>
      <c r="I8" s="12">
        <v>5642</v>
      </c>
      <c r="J8" s="12">
        <v>5480</v>
      </c>
      <c r="K8" s="12">
        <v>7174</v>
      </c>
      <c r="L8" s="12">
        <v>6726</v>
      </c>
      <c r="M8" s="12">
        <v>7201</v>
      </c>
      <c r="N8" s="12">
        <v>7258</v>
      </c>
    </row>
    <row r="9" spans="1:14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6" t="s">
        <v>18</v>
      </c>
      <c r="B11" s="27"/>
      <c r="C11" s="9">
        <f t="shared" ref="C11:N11" si="0">SUM(C5:C8,C10)</f>
        <v>948764</v>
      </c>
      <c r="D11" s="9">
        <f t="shared" si="0"/>
        <v>942052</v>
      </c>
      <c r="E11" s="9">
        <f t="shared" si="0"/>
        <v>926730</v>
      </c>
      <c r="F11" s="9">
        <f t="shared" si="0"/>
        <v>873249</v>
      </c>
      <c r="G11" s="9">
        <f t="shared" si="0"/>
        <v>776555</v>
      </c>
      <c r="H11" s="9">
        <f t="shared" si="0"/>
        <v>724313</v>
      </c>
      <c r="I11" s="9">
        <f t="shared" si="0"/>
        <v>725118</v>
      </c>
      <c r="J11" s="9">
        <f t="shared" si="0"/>
        <v>639723</v>
      </c>
      <c r="K11" s="9">
        <f t="shared" si="0"/>
        <v>597835</v>
      </c>
      <c r="L11" s="9">
        <f t="shared" si="0"/>
        <v>617628</v>
      </c>
      <c r="M11" s="9">
        <f t="shared" si="0"/>
        <v>902778</v>
      </c>
      <c r="N11" s="9">
        <f t="shared" si="0"/>
        <v>899327</v>
      </c>
    </row>
    <row r="12" spans="1:14" x14ac:dyDescent="0.25">
      <c r="A12" s="26" t="s">
        <v>19</v>
      </c>
      <c r="B12" s="27"/>
      <c r="C12" s="9">
        <f>C11</f>
        <v>948764</v>
      </c>
      <c r="D12" s="9">
        <f t="shared" ref="D12:N12" si="1">D11</f>
        <v>942052</v>
      </c>
      <c r="E12" s="9">
        <f t="shared" si="1"/>
        <v>926730</v>
      </c>
      <c r="F12" s="9">
        <f t="shared" si="1"/>
        <v>873249</v>
      </c>
      <c r="G12" s="9">
        <f t="shared" si="1"/>
        <v>776555</v>
      </c>
      <c r="H12" s="9">
        <f t="shared" si="1"/>
        <v>724313</v>
      </c>
      <c r="I12" s="9">
        <f t="shared" si="1"/>
        <v>725118</v>
      </c>
      <c r="J12" s="9">
        <f t="shared" si="1"/>
        <v>639723</v>
      </c>
      <c r="K12" s="9">
        <f t="shared" si="1"/>
        <v>597835</v>
      </c>
      <c r="L12" s="9">
        <f t="shared" si="1"/>
        <v>617628</v>
      </c>
      <c r="M12" s="9">
        <f t="shared" si="1"/>
        <v>902778</v>
      </c>
      <c r="N12" s="9">
        <f t="shared" si="1"/>
        <v>899327</v>
      </c>
    </row>
    <row r="21" spans="5:10" x14ac:dyDescent="0.25">
      <c r="E21" s="15"/>
    </row>
    <row r="22" spans="5:10" x14ac:dyDescent="0.25">
      <c r="E22" s="15"/>
    </row>
    <row r="23" spans="5:10" x14ac:dyDescent="0.25">
      <c r="E23" s="15"/>
    </row>
    <row r="24" spans="5:10" x14ac:dyDescent="0.25">
      <c r="E24" s="15"/>
    </row>
    <row r="25" spans="5:10" x14ac:dyDescent="0.25">
      <c r="E25" s="15"/>
    </row>
    <row r="30" spans="5:10" x14ac:dyDescent="0.25">
      <c r="J30" s="16"/>
    </row>
    <row r="31" spans="5:10" x14ac:dyDescent="0.25">
      <c r="J31" s="16"/>
    </row>
    <row r="32" spans="5:10" x14ac:dyDescent="0.25">
      <c r="J32" s="15"/>
    </row>
    <row r="33" spans="10:10" x14ac:dyDescent="0.25">
      <c r="J33" s="16"/>
    </row>
    <row r="34" spans="10:10" x14ac:dyDescent="0.25">
      <c r="J34" s="16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75" zoomScaleNormal="75" workbookViewId="0">
      <selection activeCell="M26" sqref="M26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7.85546875" customWidth="1"/>
    <col min="5" max="5" width="17.7109375" customWidth="1"/>
    <col min="6" max="6" width="17.5703125" customWidth="1"/>
    <col min="7" max="7" width="18.7109375" customWidth="1"/>
    <col min="8" max="8" width="17.28515625" customWidth="1"/>
    <col min="9" max="10" width="17.7109375" customWidth="1"/>
    <col min="11" max="11" width="20" customWidth="1"/>
    <col min="12" max="12" width="24.42578125" customWidth="1"/>
    <col min="13" max="13" width="21" customWidth="1"/>
    <col min="14" max="14" width="24.7109375" customWidth="1"/>
    <col min="15" max="15" width="9.140625" style="18"/>
    <col min="17" max="17" width="8.85546875" style="18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7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7" x14ac:dyDescent="0.25">
      <c r="A4" s="29" t="s">
        <v>26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7" x14ac:dyDescent="0.25">
      <c r="A5" s="30"/>
      <c r="B5" s="6" t="s">
        <v>14</v>
      </c>
      <c r="C5" s="12">
        <f>53694+354920</f>
        <v>408614</v>
      </c>
      <c r="D5" s="12">
        <f>46770+377280</f>
        <v>424050</v>
      </c>
      <c r="E5" s="12">
        <f>40680+351615</f>
        <v>392295</v>
      </c>
      <c r="F5" s="12">
        <f>30463+606982</f>
        <v>637445</v>
      </c>
      <c r="G5" s="12">
        <f>669550+28273</f>
        <v>697823</v>
      </c>
      <c r="H5" s="7">
        <f>592446+24034</f>
        <v>616480</v>
      </c>
      <c r="I5" s="7">
        <f>546127+25781</f>
        <v>571908</v>
      </c>
      <c r="J5" s="7">
        <f>521884+26289</f>
        <v>548173</v>
      </c>
      <c r="K5" s="7">
        <f>372626+27979</f>
        <v>400605</v>
      </c>
      <c r="L5" s="7">
        <f>34649+411372</f>
        <v>446021</v>
      </c>
      <c r="M5" s="7">
        <f>430469+39176</f>
        <v>469645</v>
      </c>
      <c r="N5" s="7">
        <f>481086+41581</f>
        <v>522667</v>
      </c>
      <c r="O5" s="20">
        <f>N5/M5</f>
        <v>1.112898040008943</v>
      </c>
      <c r="Q5" s="17">
        <f>AVERAGE(C5:N5)</f>
        <v>511310.5</v>
      </c>
    </row>
    <row r="6" spans="1:17" x14ac:dyDescent="0.25">
      <c r="A6" s="30"/>
      <c r="B6" s="6" t="s">
        <v>15</v>
      </c>
      <c r="C6" s="12">
        <v>48004</v>
      </c>
      <c r="D6" s="12">
        <v>40649</v>
      </c>
      <c r="E6" s="12">
        <v>44996</v>
      </c>
      <c r="F6" s="12">
        <v>37530</v>
      </c>
      <c r="G6" s="12">
        <v>24275</v>
      </c>
      <c r="H6" s="12">
        <v>18291</v>
      </c>
      <c r="I6" s="12">
        <v>24495</v>
      </c>
      <c r="J6" s="12">
        <v>25993</v>
      </c>
      <c r="K6" s="12">
        <v>27967</v>
      </c>
      <c r="L6" s="12">
        <v>34667</v>
      </c>
      <c r="M6" s="12">
        <v>45024</v>
      </c>
      <c r="N6" s="12">
        <v>48900</v>
      </c>
      <c r="O6" s="20">
        <f t="shared" ref="O6:O8" si="0">N6/M6</f>
        <v>1.086087420042644</v>
      </c>
      <c r="Q6" s="17">
        <f t="shared" ref="Q6:Q8" si="1">AVERAGE(C6:N6)</f>
        <v>35065.916666666664</v>
      </c>
    </row>
    <row r="7" spans="1:17" x14ac:dyDescent="0.25">
      <c r="A7" s="30"/>
      <c r="B7" s="6" t="s">
        <v>16</v>
      </c>
      <c r="C7" s="12">
        <v>422769</v>
      </c>
      <c r="D7" s="12">
        <v>332379</v>
      </c>
      <c r="E7" s="12">
        <v>335513</v>
      </c>
      <c r="F7" s="12">
        <v>258853</v>
      </c>
      <c r="G7" s="12">
        <v>144920</v>
      </c>
      <c r="H7" s="12">
        <v>84697</v>
      </c>
      <c r="I7" s="12">
        <v>121358</v>
      </c>
      <c r="J7" s="12">
        <v>140969</v>
      </c>
      <c r="K7" s="12">
        <v>168737</v>
      </c>
      <c r="L7" s="12">
        <v>259868</v>
      </c>
      <c r="M7" s="12">
        <v>296148</v>
      </c>
      <c r="N7" s="12">
        <v>381834</v>
      </c>
      <c r="O7" s="20">
        <f t="shared" si="0"/>
        <v>1.2893350621986304</v>
      </c>
      <c r="Q7" s="17">
        <f t="shared" si="1"/>
        <v>245670.41666666666</v>
      </c>
    </row>
    <row r="8" spans="1:17" x14ac:dyDescent="0.25">
      <c r="A8" s="30"/>
      <c r="B8" s="6" t="s">
        <v>17</v>
      </c>
      <c r="C8" s="12">
        <v>7704</v>
      </c>
      <c r="D8" s="12">
        <v>5916</v>
      </c>
      <c r="E8" s="12">
        <v>6446</v>
      </c>
      <c r="F8" s="12">
        <v>7604</v>
      </c>
      <c r="G8" s="12">
        <v>9261</v>
      </c>
      <c r="H8" s="12">
        <v>4966</v>
      </c>
      <c r="I8" s="12">
        <v>5458</v>
      </c>
      <c r="J8" s="12">
        <v>5754</v>
      </c>
      <c r="K8" s="12">
        <v>6007</v>
      </c>
      <c r="L8" s="12">
        <v>7048</v>
      </c>
      <c r="M8" s="12">
        <v>6060</v>
      </c>
      <c r="N8" s="12">
        <v>6804</v>
      </c>
      <c r="O8" s="20">
        <f t="shared" si="0"/>
        <v>1.1227722772277229</v>
      </c>
      <c r="Q8" s="17">
        <f t="shared" si="1"/>
        <v>6585.666666666667</v>
      </c>
    </row>
    <row r="9" spans="1:17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7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7" x14ac:dyDescent="0.25">
      <c r="A11" s="26" t="s">
        <v>18</v>
      </c>
      <c r="B11" s="27"/>
      <c r="C11" s="9">
        <f t="shared" ref="C11:N11" si="2">SUM(C5:C8,C10)</f>
        <v>887091</v>
      </c>
      <c r="D11" s="9">
        <f t="shared" si="2"/>
        <v>802994</v>
      </c>
      <c r="E11" s="9">
        <f t="shared" si="2"/>
        <v>779250</v>
      </c>
      <c r="F11" s="9">
        <f t="shared" si="2"/>
        <v>941432</v>
      </c>
      <c r="G11" s="9">
        <f t="shared" si="2"/>
        <v>876279</v>
      </c>
      <c r="H11" s="9">
        <f t="shared" si="2"/>
        <v>724434</v>
      </c>
      <c r="I11" s="9">
        <f t="shared" si="2"/>
        <v>723219</v>
      </c>
      <c r="J11" s="9">
        <f t="shared" si="2"/>
        <v>720889</v>
      </c>
      <c r="K11" s="9">
        <f t="shared" si="2"/>
        <v>603316</v>
      </c>
      <c r="L11" s="9">
        <f t="shared" si="2"/>
        <v>747604</v>
      </c>
      <c r="M11" s="9">
        <f t="shared" si="2"/>
        <v>816877</v>
      </c>
      <c r="N11" s="9">
        <f t="shared" si="2"/>
        <v>960205</v>
      </c>
    </row>
    <row r="12" spans="1:17" x14ac:dyDescent="0.25">
      <c r="A12" s="26" t="s">
        <v>19</v>
      </c>
      <c r="B12" s="27"/>
      <c r="C12" s="9">
        <f>C11</f>
        <v>887091</v>
      </c>
      <c r="D12" s="9">
        <f t="shared" ref="D12:N12" si="3">D11</f>
        <v>802994</v>
      </c>
      <c r="E12" s="9">
        <f t="shared" si="3"/>
        <v>779250</v>
      </c>
      <c r="F12" s="9">
        <f t="shared" si="3"/>
        <v>941432</v>
      </c>
      <c r="G12" s="9">
        <f t="shared" si="3"/>
        <v>876279</v>
      </c>
      <c r="H12" s="9">
        <f t="shared" si="3"/>
        <v>724434</v>
      </c>
      <c r="I12" s="9">
        <f t="shared" si="3"/>
        <v>723219</v>
      </c>
      <c r="J12" s="9">
        <f t="shared" si="3"/>
        <v>720889</v>
      </c>
      <c r="K12" s="9">
        <f t="shared" si="3"/>
        <v>603316</v>
      </c>
      <c r="L12" s="9">
        <f t="shared" si="3"/>
        <v>747604</v>
      </c>
      <c r="M12" s="9">
        <f t="shared" si="3"/>
        <v>816877</v>
      </c>
      <c r="N12" s="9">
        <f t="shared" si="3"/>
        <v>960205</v>
      </c>
    </row>
    <row r="21" spans="5:10" x14ac:dyDescent="0.25">
      <c r="E21" s="15"/>
    </row>
    <row r="22" spans="5:10" x14ac:dyDescent="0.25">
      <c r="E22" s="15"/>
    </row>
    <row r="23" spans="5:10" x14ac:dyDescent="0.25">
      <c r="E23" s="15"/>
    </row>
    <row r="24" spans="5:10" x14ac:dyDescent="0.25">
      <c r="E24" s="15"/>
    </row>
    <row r="25" spans="5:10" x14ac:dyDescent="0.25">
      <c r="E25" s="15"/>
    </row>
    <row r="30" spans="5:10" x14ac:dyDescent="0.25">
      <c r="J30" s="16"/>
    </row>
    <row r="31" spans="5:10" x14ac:dyDescent="0.25">
      <c r="J31" s="16"/>
    </row>
    <row r="32" spans="5:10" x14ac:dyDescent="0.25">
      <c r="J32" s="15"/>
    </row>
    <row r="33" spans="10:10" x14ac:dyDescent="0.25">
      <c r="J33" s="16"/>
    </row>
    <row r="34" spans="10:10" x14ac:dyDescent="0.25">
      <c r="J34" s="16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="75" zoomScaleNormal="75" workbookViewId="0">
      <selection activeCell="W5" sqref="W5:W8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7.85546875" customWidth="1"/>
    <col min="5" max="5" width="17.7109375" customWidth="1"/>
    <col min="6" max="6" width="17.5703125" customWidth="1"/>
    <col min="7" max="7" width="17.5703125" hidden="1" customWidth="1"/>
    <col min="8" max="8" width="18.7109375" customWidth="1"/>
    <col min="9" max="9" width="18.7109375" hidden="1" customWidth="1"/>
    <col min="10" max="10" width="17.28515625" customWidth="1"/>
    <col min="11" max="11" width="17.28515625" hidden="1" customWidth="1"/>
    <col min="12" max="12" width="17.7109375" customWidth="1"/>
    <col min="13" max="13" width="17.7109375" hidden="1" customWidth="1"/>
    <col min="14" max="14" width="17.7109375" customWidth="1"/>
    <col min="15" max="15" width="17.7109375" hidden="1" customWidth="1"/>
    <col min="16" max="16" width="20" customWidth="1"/>
    <col min="17" max="17" width="20" hidden="1" customWidth="1"/>
    <col min="18" max="18" width="24.42578125" customWidth="1"/>
    <col min="19" max="19" width="24.42578125" hidden="1" customWidth="1"/>
    <col min="20" max="20" width="21" customWidth="1"/>
    <col min="21" max="21" width="21" hidden="1" customWidth="1"/>
    <col min="22" max="22" width="24.7109375" customWidth="1"/>
    <col min="23" max="23" width="9.140625" style="20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3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</row>
    <row r="4" spans="1:23" x14ac:dyDescent="0.25">
      <c r="A4" s="29" t="s">
        <v>34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/>
    </row>
    <row r="5" spans="1:23" x14ac:dyDescent="0.25">
      <c r="A5" s="30"/>
      <c r="B5" s="6" t="s">
        <v>14</v>
      </c>
      <c r="C5" s="12">
        <f>46992+468453</f>
        <v>515445</v>
      </c>
      <c r="D5" s="12">
        <f>330990+46784</f>
        <v>377774</v>
      </c>
      <c r="E5" s="12">
        <f>608741+39901</f>
        <v>648642</v>
      </c>
      <c r="F5" s="12">
        <f>656874+26454</f>
        <v>683328</v>
      </c>
      <c r="G5" s="19">
        <v>1.0947187600498867</v>
      </c>
      <c r="H5" s="12">
        <f>22399+668437</f>
        <v>690836</v>
      </c>
      <c r="I5" s="12">
        <v>0.8834331915113145</v>
      </c>
      <c r="J5" s="7">
        <v>709442</v>
      </c>
      <c r="K5" s="7">
        <v>0.92769919543213075</v>
      </c>
      <c r="L5" s="7">
        <v>691710</v>
      </c>
      <c r="M5" s="7">
        <v>0.95849856970002167</v>
      </c>
      <c r="N5" s="7">
        <f>602250+30126</f>
        <v>632376</v>
      </c>
      <c r="O5" s="7">
        <v>0.73080031303986148</v>
      </c>
      <c r="P5" s="7">
        <f>354685+26973</f>
        <v>381658</v>
      </c>
      <c r="Q5" s="7">
        <v>1.1133685300982263</v>
      </c>
      <c r="R5" s="7">
        <f>327000+35993</f>
        <v>362993</v>
      </c>
      <c r="S5" s="7">
        <v>1.0529661159452133</v>
      </c>
      <c r="T5" s="7">
        <f>442363+45431</f>
        <v>487794</v>
      </c>
      <c r="U5" s="7">
        <v>1.112898040008943</v>
      </c>
      <c r="V5" s="7">
        <f>51288+562705</f>
        <v>613993</v>
      </c>
      <c r="W5" s="20">
        <f>'2021'!C5/'2020'!V5</f>
        <v>0.81236756770842666</v>
      </c>
    </row>
    <row r="6" spans="1:23" x14ac:dyDescent="0.25">
      <c r="A6" s="30"/>
      <c r="B6" s="6" t="s">
        <v>15</v>
      </c>
      <c r="C6" s="12">
        <v>47808</v>
      </c>
      <c r="D6" s="12">
        <v>43188</v>
      </c>
      <c r="E6" s="12">
        <v>46073</v>
      </c>
      <c r="F6" s="12">
        <v>45515</v>
      </c>
      <c r="G6" s="19">
        <v>0.64681588062883022</v>
      </c>
      <c r="H6" s="12">
        <v>36993</v>
      </c>
      <c r="I6" s="12">
        <v>0.75349124613800211</v>
      </c>
      <c r="J6" s="7">
        <v>21980</v>
      </c>
      <c r="K6" s="7">
        <v>1.3391832048548467</v>
      </c>
      <c r="L6" s="7">
        <v>19934</v>
      </c>
      <c r="M6" s="7">
        <v>1.0611553378240457</v>
      </c>
      <c r="N6" s="12">
        <v>24453</v>
      </c>
      <c r="O6" s="12">
        <v>1.0759435232562613</v>
      </c>
      <c r="P6" s="12">
        <v>26449</v>
      </c>
      <c r="Q6" s="12">
        <v>1.2395680623592091</v>
      </c>
      <c r="R6" s="12">
        <v>36609</v>
      </c>
      <c r="S6" s="12">
        <v>1.2987567427236277</v>
      </c>
      <c r="T6" s="12">
        <v>42618</v>
      </c>
      <c r="U6" s="12">
        <v>1.086087420042644</v>
      </c>
      <c r="V6" s="12">
        <v>55319</v>
      </c>
      <c r="W6" s="20">
        <f>'2021'!C6/'2020'!V6</f>
        <v>1.7068457492000939</v>
      </c>
    </row>
    <row r="7" spans="1:23" x14ac:dyDescent="0.25">
      <c r="A7" s="30"/>
      <c r="B7" s="6" t="s">
        <v>16</v>
      </c>
      <c r="C7" s="12">
        <v>385841</v>
      </c>
      <c r="D7" s="12">
        <v>327281</v>
      </c>
      <c r="E7" s="12">
        <v>283326</v>
      </c>
      <c r="F7" s="12">
        <v>306684</v>
      </c>
      <c r="G7" s="19">
        <v>0.55985443475640617</v>
      </c>
      <c r="H7" s="12">
        <v>155336</v>
      </c>
      <c r="I7" s="12">
        <v>0.58443969086392489</v>
      </c>
      <c r="J7" s="7">
        <v>83069</v>
      </c>
      <c r="K7" s="7">
        <v>1.4328488612347545</v>
      </c>
      <c r="L7" s="7">
        <v>85062</v>
      </c>
      <c r="M7" s="7">
        <v>1.1615962688903905</v>
      </c>
      <c r="N7" s="12">
        <v>101585</v>
      </c>
      <c r="O7" s="12">
        <v>1.1969794777575211</v>
      </c>
      <c r="P7" s="12">
        <v>142396</v>
      </c>
      <c r="Q7" s="12">
        <v>1.540077161499849</v>
      </c>
      <c r="R7" s="12">
        <v>218348</v>
      </c>
      <c r="S7" s="12">
        <v>1.1396093401265257</v>
      </c>
      <c r="T7" s="12">
        <v>306149</v>
      </c>
      <c r="U7" s="12">
        <v>1.2893350621986304</v>
      </c>
      <c r="V7" s="12">
        <v>383289</v>
      </c>
      <c r="W7" s="20">
        <f>'2021'!C7/'2020'!V7</f>
        <v>1.1251718677029605</v>
      </c>
    </row>
    <row r="8" spans="1:23" x14ac:dyDescent="0.25">
      <c r="A8" s="30"/>
      <c r="B8" s="6" t="s">
        <v>17</v>
      </c>
      <c r="C8" s="12">
        <v>6836</v>
      </c>
      <c r="D8" s="12">
        <v>6760</v>
      </c>
      <c r="E8" s="12">
        <v>6609</v>
      </c>
      <c r="F8" s="12">
        <v>6601</v>
      </c>
      <c r="G8" s="19">
        <v>1.217911625460284</v>
      </c>
      <c r="H8" s="12">
        <v>6874</v>
      </c>
      <c r="I8" s="12">
        <v>0.53622718928841373</v>
      </c>
      <c r="J8" s="7">
        <v>4784</v>
      </c>
      <c r="K8" s="7">
        <v>1.0990737011679419</v>
      </c>
      <c r="L8" s="7">
        <v>5226</v>
      </c>
      <c r="M8" s="7">
        <v>1.0542323195309637</v>
      </c>
      <c r="N8" s="12">
        <v>5688</v>
      </c>
      <c r="O8" s="12">
        <v>1.0439694125825512</v>
      </c>
      <c r="P8" s="12">
        <v>6240</v>
      </c>
      <c r="Q8" s="12">
        <v>1.1732978192109207</v>
      </c>
      <c r="R8" s="12">
        <v>6879</v>
      </c>
      <c r="S8" s="12">
        <v>0.85981838819523271</v>
      </c>
      <c r="T8" s="12">
        <v>6678</v>
      </c>
      <c r="U8" s="12">
        <v>1.1227722772277229</v>
      </c>
      <c r="V8" s="12">
        <v>7034</v>
      </c>
      <c r="W8" s="20">
        <f>'2021'!C8/'2020'!V8</f>
        <v>1.1097526300824567</v>
      </c>
    </row>
    <row r="9" spans="1:23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1:23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3" x14ac:dyDescent="0.25">
      <c r="A11" s="26" t="s">
        <v>18</v>
      </c>
      <c r="B11" s="27"/>
      <c r="C11" s="9">
        <f t="shared" ref="C11:V11" si="0">SUM(C5:C8,C10)</f>
        <v>955930</v>
      </c>
      <c r="D11" s="9">
        <f t="shared" si="0"/>
        <v>755003</v>
      </c>
      <c r="E11" s="9">
        <f t="shared" si="0"/>
        <v>984650</v>
      </c>
      <c r="F11" s="9">
        <f t="shared" si="0"/>
        <v>1042128</v>
      </c>
      <c r="G11" s="9"/>
      <c r="H11" s="9">
        <f t="shared" si="0"/>
        <v>890039</v>
      </c>
      <c r="I11" s="9"/>
      <c r="J11" s="9">
        <f>SUM(J5:J8,J10)</f>
        <v>819275</v>
      </c>
      <c r="K11" s="9"/>
      <c r="L11" s="9">
        <f>SUM(L5:L8,L10)</f>
        <v>801932</v>
      </c>
      <c r="M11" s="9"/>
      <c r="N11" s="9">
        <f t="shared" si="0"/>
        <v>764102</v>
      </c>
      <c r="O11" s="9"/>
      <c r="P11" s="9">
        <f t="shared" si="0"/>
        <v>556743</v>
      </c>
      <c r="Q11" s="9"/>
      <c r="R11" s="9">
        <f t="shared" si="0"/>
        <v>624829</v>
      </c>
      <c r="S11" s="9"/>
      <c r="T11" s="9">
        <f t="shared" si="0"/>
        <v>843239</v>
      </c>
      <c r="U11" s="9"/>
      <c r="V11" s="9">
        <f t="shared" si="0"/>
        <v>1059635</v>
      </c>
    </row>
    <row r="12" spans="1:23" x14ac:dyDescent="0.25">
      <c r="A12" s="26" t="s">
        <v>19</v>
      </c>
      <c r="B12" s="27"/>
      <c r="C12" s="9">
        <f>C11</f>
        <v>955930</v>
      </c>
      <c r="D12" s="9">
        <f t="shared" ref="D12:V12" si="1">D11</f>
        <v>755003</v>
      </c>
      <c r="E12" s="9">
        <f t="shared" si="1"/>
        <v>984650</v>
      </c>
      <c r="F12" s="9">
        <f t="shared" si="1"/>
        <v>1042128</v>
      </c>
      <c r="G12" s="9"/>
      <c r="H12" s="9">
        <f t="shared" si="1"/>
        <v>890039</v>
      </c>
      <c r="I12" s="9"/>
      <c r="J12" s="9">
        <f t="shared" si="1"/>
        <v>819275</v>
      </c>
      <c r="K12" s="9"/>
      <c r="L12" s="9">
        <f t="shared" si="1"/>
        <v>801932</v>
      </c>
      <c r="M12" s="9"/>
      <c r="N12" s="9">
        <f t="shared" si="1"/>
        <v>764102</v>
      </c>
      <c r="O12" s="9"/>
      <c r="P12" s="9">
        <f t="shared" si="1"/>
        <v>556743</v>
      </c>
      <c r="Q12" s="9"/>
      <c r="R12" s="9">
        <f t="shared" si="1"/>
        <v>624829</v>
      </c>
      <c r="S12" s="9"/>
      <c r="T12" s="9">
        <f t="shared" si="1"/>
        <v>843239</v>
      </c>
      <c r="U12" s="9"/>
      <c r="V12" s="9">
        <f t="shared" si="1"/>
        <v>1059635</v>
      </c>
    </row>
    <row r="21" spans="5:15" x14ac:dyDescent="0.25">
      <c r="E21" s="15"/>
    </row>
    <row r="22" spans="5:15" x14ac:dyDescent="0.25">
      <c r="E22" s="15"/>
    </row>
    <row r="23" spans="5:15" x14ac:dyDescent="0.25">
      <c r="E23" s="15"/>
    </row>
    <row r="24" spans="5:15" x14ac:dyDescent="0.25">
      <c r="E24" s="15"/>
    </row>
    <row r="25" spans="5:15" x14ac:dyDescent="0.25">
      <c r="E25" s="15"/>
    </row>
    <row r="30" spans="5:15" x14ac:dyDescent="0.25">
      <c r="N30" s="16"/>
      <c r="O30" s="16"/>
    </row>
    <row r="31" spans="5:15" x14ac:dyDescent="0.25">
      <c r="N31" s="16"/>
      <c r="O31" s="16"/>
    </row>
    <row r="32" spans="5:15" x14ac:dyDescent="0.25">
      <c r="N32" s="15"/>
      <c r="O32" s="15"/>
    </row>
    <row r="33" spans="14:15" x14ac:dyDescent="0.25">
      <c r="N33" s="16"/>
      <c r="O33" s="16"/>
    </row>
    <row r="34" spans="14:15" x14ac:dyDescent="0.25">
      <c r="N34" s="16"/>
      <c r="O34" s="16"/>
    </row>
  </sheetData>
  <mergeCells count="6">
    <mergeCell ref="A12:B12"/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zoomScale="85" zoomScaleNormal="85" workbookViewId="0">
      <selection activeCell="I36" sqref="A31:I36"/>
    </sheetView>
  </sheetViews>
  <sheetFormatPr defaultRowHeight="15" x14ac:dyDescent="0.25"/>
  <cols>
    <col min="1" max="1" width="18.28515625" customWidth="1"/>
    <col min="2" max="2" width="16.140625" customWidth="1"/>
    <col min="3" max="3" width="18.5703125" customWidth="1"/>
    <col min="4" max="4" width="18.5703125" hidden="1" customWidth="1"/>
    <col min="5" max="5" width="17.85546875" customWidth="1"/>
    <col min="6" max="6" width="17.85546875" hidden="1" customWidth="1"/>
    <col min="7" max="7" width="17.7109375" customWidth="1"/>
    <col min="8" max="8" width="17.7109375" hidden="1" customWidth="1"/>
    <col min="9" max="9" width="17.5703125" customWidth="1"/>
    <col min="10" max="11" width="17.5703125" hidden="1" customWidth="1"/>
    <col min="12" max="12" width="18.7109375" customWidth="1"/>
    <col min="13" max="14" width="18.7109375" hidden="1" customWidth="1"/>
    <col min="15" max="15" width="17.28515625" customWidth="1"/>
    <col min="16" max="17" width="17.28515625" hidden="1" customWidth="1"/>
    <col min="18" max="18" width="17.7109375" customWidth="1"/>
    <col min="19" max="20" width="17.7109375" hidden="1" customWidth="1"/>
    <col min="21" max="21" width="17.7109375" customWidth="1"/>
    <col min="22" max="23" width="17.7109375" hidden="1" customWidth="1"/>
    <col min="24" max="24" width="20" customWidth="1"/>
    <col min="25" max="26" width="20" hidden="1" customWidth="1"/>
    <col min="27" max="27" width="24.42578125" customWidth="1"/>
    <col min="28" max="29" width="24.42578125" hidden="1" customWidth="1"/>
    <col min="30" max="30" width="21" customWidth="1"/>
    <col min="31" max="32" width="21" hidden="1" customWidth="1"/>
    <col min="33" max="33" width="24.7109375" customWidth="1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4" ht="28.5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</row>
    <row r="4" spans="1:34" x14ac:dyDescent="0.25">
      <c r="A4" s="29" t="s">
        <v>36</v>
      </c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</row>
    <row r="5" spans="1:34" x14ac:dyDescent="0.25">
      <c r="A5" s="30"/>
      <c r="B5" s="6" t="s">
        <v>14</v>
      </c>
      <c r="C5" s="12">
        <f>56096+442692</f>
        <v>498788</v>
      </c>
      <c r="D5" s="12">
        <v>0.73290845774039903</v>
      </c>
      <c r="E5" s="12">
        <f>52291+536145</f>
        <v>588436</v>
      </c>
      <c r="F5" s="12">
        <v>1.71701069951876</v>
      </c>
      <c r="G5" s="12">
        <f>42547+609800</f>
        <v>652347</v>
      </c>
      <c r="H5" s="12">
        <v>1.0534747981166808</v>
      </c>
      <c r="I5" s="12">
        <f>567253+30492</f>
        <v>597745</v>
      </c>
      <c r="J5" s="19"/>
      <c r="K5" s="19">
        <v>1.01098740282851</v>
      </c>
      <c r="L5" s="12">
        <f>625367+26042</f>
        <v>651409</v>
      </c>
      <c r="M5" s="12"/>
      <c r="N5" s="12">
        <v>1.026932586026206</v>
      </c>
      <c r="O5" s="7">
        <f>23983+692233</f>
        <v>716216</v>
      </c>
      <c r="P5" s="7"/>
      <c r="Q5" s="7">
        <v>0.97500570871191727</v>
      </c>
      <c r="R5" s="7">
        <f>24194+713842</f>
        <v>738036</v>
      </c>
      <c r="S5" s="7"/>
      <c r="T5" s="7">
        <v>0.9142212777030837</v>
      </c>
      <c r="U5" s="7">
        <f>24479+653664</f>
        <v>678143</v>
      </c>
      <c r="V5" s="7"/>
      <c r="W5" s="7">
        <v>0.60353017824838384</v>
      </c>
      <c r="X5" s="7">
        <f>25278+528551</f>
        <v>553829</v>
      </c>
      <c r="Y5" s="7"/>
      <c r="Z5" s="7">
        <v>0.95109495936152266</v>
      </c>
      <c r="AA5" s="7">
        <f>3192+559756</f>
        <v>562948</v>
      </c>
      <c r="AB5" s="7"/>
      <c r="AC5" s="7">
        <v>1.3438110376784125</v>
      </c>
      <c r="AD5" s="7">
        <f>39707+515955</f>
        <v>555662</v>
      </c>
      <c r="AE5" s="7"/>
      <c r="AF5" s="7">
        <v>1.2587137193159408</v>
      </c>
      <c r="AG5" s="7">
        <v>706474</v>
      </c>
      <c r="AH5" s="20">
        <f>'2022'!D5/'2021'!AG5</f>
        <v>0.99439611365740277</v>
      </c>
    </row>
    <row r="6" spans="1:34" x14ac:dyDescent="0.25">
      <c r="A6" s="30"/>
      <c r="B6" s="6" t="s">
        <v>15</v>
      </c>
      <c r="C6" s="12">
        <v>94421</v>
      </c>
      <c r="D6" s="12">
        <v>0.90336345381526106</v>
      </c>
      <c r="E6" s="12">
        <v>55049</v>
      </c>
      <c r="F6" s="12">
        <v>1.0668009632305271</v>
      </c>
      <c r="G6" s="12">
        <v>85729</v>
      </c>
      <c r="H6" s="12">
        <v>0.98788878518872225</v>
      </c>
      <c r="I6" s="12">
        <v>67824</v>
      </c>
      <c r="J6" s="19"/>
      <c r="K6" s="19">
        <v>0.81276502252004834</v>
      </c>
      <c r="L6" s="12">
        <v>39577</v>
      </c>
      <c r="M6" s="12"/>
      <c r="N6" s="12">
        <v>0.59416646392560757</v>
      </c>
      <c r="O6" s="7">
        <v>20778</v>
      </c>
      <c r="P6" s="7"/>
      <c r="Q6" s="7">
        <v>0.9069153776160146</v>
      </c>
      <c r="R6" s="7">
        <v>20170</v>
      </c>
      <c r="S6" s="7"/>
      <c r="T6" s="7">
        <v>1.2266981037423497</v>
      </c>
      <c r="U6" s="12">
        <v>23082</v>
      </c>
      <c r="V6" s="12"/>
      <c r="W6" s="12">
        <v>1.0816259763628184</v>
      </c>
      <c r="X6" s="12">
        <v>46233</v>
      </c>
      <c r="Y6" s="12"/>
      <c r="Z6" s="12">
        <v>1.3841355060682823</v>
      </c>
      <c r="AA6" s="12">
        <v>60950</v>
      </c>
      <c r="AB6" s="12"/>
      <c r="AC6" s="12">
        <v>1.164139965582234</v>
      </c>
      <c r="AD6" s="12">
        <v>45933</v>
      </c>
      <c r="AE6" s="12"/>
      <c r="AF6" s="12">
        <v>1.2980196161246422</v>
      </c>
      <c r="AG6" s="12">
        <v>82045</v>
      </c>
      <c r="AH6" s="20">
        <f>'2022'!D6/'2021'!AG6</f>
        <v>1.1053202510817235</v>
      </c>
    </row>
    <row r="7" spans="1:34" x14ac:dyDescent="0.25">
      <c r="A7" s="30"/>
      <c r="B7" s="6" t="s">
        <v>16</v>
      </c>
      <c r="C7" s="12">
        <v>431266</v>
      </c>
      <c r="D7" s="12">
        <v>0.84822763780935673</v>
      </c>
      <c r="E7" s="12">
        <v>355312</v>
      </c>
      <c r="F7" s="12">
        <v>0.86569645045083587</v>
      </c>
      <c r="G7" s="12">
        <v>374387</v>
      </c>
      <c r="H7" s="12">
        <v>1.0824421337964041</v>
      </c>
      <c r="I7" s="12">
        <v>183094</v>
      </c>
      <c r="J7" s="19"/>
      <c r="K7" s="19">
        <v>0.50650180641963716</v>
      </c>
      <c r="L7" s="12">
        <v>150133</v>
      </c>
      <c r="M7" s="12"/>
      <c r="N7" s="12">
        <v>0.53476978935983932</v>
      </c>
      <c r="O7" s="7">
        <v>74238</v>
      </c>
      <c r="P7" s="7"/>
      <c r="Q7" s="7">
        <v>1.0239921029505592</v>
      </c>
      <c r="R7" s="7">
        <v>107375</v>
      </c>
      <c r="S7" s="7"/>
      <c r="T7" s="7">
        <v>1.1942465495756036</v>
      </c>
      <c r="U7" s="12">
        <v>87196</v>
      </c>
      <c r="V7" s="12"/>
      <c r="W7" s="12">
        <v>1.40174238322587</v>
      </c>
      <c r="X7" s="12">
        <v>174145</v>
      </c>
      <c r="Y7" s="12"/>
      <c r="Z7" s="12">
        <v>1.5333857692631816</v>
      </c>
      <c r="AA7" s="12">
        <v>186573</v>
      </c>
      <c r="AB7" s="12"/>
      <c r="AC7" s="12">
        <v>1.4021149724293329</v>
      </c>
      <c r="AD7" s="12">
        <v>305244</v>
      </c>
      <c r="AE7" s="12"/>
      <c r="AF7" s="12">
        <v>1.2519688125716564</v>
      </c>
      <c r="AG7" s="12">
        <v>414789</v>
      </c>
      <c r="AH7" s="20">
        <f>'2022'!D7/'2021'!AG7</f>
        <v>0.93139403407515631</v>
      </c>
    </row>
    <row r="8" spans="1:34" x14ac:dyDescent="0.25">
      <c r="A8" s="30"/>
      <c r="B8" s="6" t="s">
        <v>17</v>
      </c>
      <c r="C8" s="12">
        <v>7806</v>
      </c>
      <c r="D8" s="12">
        <v>0.98888238736102985</v>
      </c>
      <c r="E8" s="12">
        <v>6700</v>
      </c>
      <c r="F8" s="12">
        <v>0.97766272189349113</v>
      </c>
      <c r="G8" s="12">
        <v>7359</v>
      </c>
      <c r="H8" s="12">
        <v>0.99878952942956578</v>
      </c>
      <c r="I8" s="12">
        <v>6538</v>
      </c>
      <c r="J8" s="19"/>
      <c r="K8" s="19">
        <v>1.0413573700954402</v>
      </c>
      <c r="L8" s="12">
        <v>6672</v>
      </c>
      <c r="M8" s="12"/>
      <c r="N8" s="12">
        <v>0.69595577538551057</v>
      </c>
      <c r="O8" s="7">
        <v>5331</v>
      </c>
      <c r="P8" s="7"/>
      <c r="Q8" s="7">
        <v>1.0923913043478262</v>
      </c>
      <c r="R8" s="7">
        <v>5564</v>
      </c>
      <c r="S8" s="7"/>
      <c r="T8" s="7">
        <v>1.0884041331802525</v>
      </c>
      <c r="U8" s="12">
        <v>5978</v>
      </c>
      <c r="V8" s="12"/>
      <c r="W8" s="12">
        <v>1.0970464135021096</v>
      </c>
      <c r="X8" s="12">
        <v>7089</v>
      </c>
      <c r="Y8" s="12"/>
      <c r="Z8" s="12">
        <v>1.1024038461538461</v>
      </c>
      <c r="AA8" s="12">
        <v>5827</v>
      </c>
      <c r="AB8" s="12"/>
      <c r="AC8" s="12">
        <v>0.97078063672045356</v>
      </c>
      <c r="AD8" s="12">
        <v>6190</v>
      </c>
      <c r="AE8" s="12"/>
      <c r="AF8" s="12">
        <v>1.0533093740640911</v>
      </c>
      <c r="AG8" s="12">
        <v>7365</v>
      </c>
      <c r="AH8" s="20">
        <f>'2022'!D8/'2021'!AG8</f>
        <v>1.0109979633401223</v>
      </c>
    </row>
    <row r="9" spans="1:34" x14ac:dyDescent="0.25">
      <c r="A9" s="30"/>
      <c r="B9" s="31" t="s">
        <v>30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3"/>
    </row>
    <row r="10" spans="1:34" x14ac:dyDescent="0.25">
      <c r="A10" s="30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4" x14ac:dyDescent="0.25">
      <c r="A11" s="26" t="s">
        <v>18</v>
      </c>
      <c r="B11" s="27"/>
      <c r="C11" s="9">
        <f t="shared" ref="C11:AG11" si="0">SUM(C5:C8,C10)</f>
        <v>1032281</v>
      </c>
      <c r="D11" s="9"/>
      <c r="E11" s="9">
        <f t="shared" si="0"/>
        <v>1005497</v>
      </c>
      <c r="F11" s="9"/>
      <c r="G11" s="9">
        <f t="shared" si="0"/>
        <v>1119822</v>
      </c>
      <c r="H11" s="9"/>
      <c r="I11" s="9">
        <f t="shared" si="0"/>
        <v>855201</v>
      </c>
      <c r="J11" s="9"/>
      <c r="K11" s="9"/>
      <c r="L11" s="9">
        <f t="shared" si="0"/>
        <v>847791</v>
      </c>
      <c r="M11" s="9"/>
      <c r="N11" s="9"/>
      <c r="O11" s="9">
        <f>SUM(O5:O8,O10)</f>
        <v>816563</v>
      </c>
      <c r="P11" s="9"/>
      <c r="Q11" s="9"/>
      <c r="R11" s="9">
        <f>SUM(R5:R8,R10)</f>
        <v>871145</v>
      </c>
      <c r="S11" s="9"/>
      <c r="T11" s="9"/>
      <c r="U11" s="9">
        <f t="shared" si="0"/>
        <v>794399</v>
      </c>
      <c r="V11" s="9"/>
      <c r="W11" s="9"/>
      <c r="X11" s="9">
        <f t="shared" si="0"/>
        <v>781296</v>
      </c>
      <c r="Y11" s="9"/>
      <c r="Z11" s="9"/>
      <c r="AA11" s="9">
        <f t="shared" si="0"/>
        <v>816298</v>
      </c>
      <c r="AB11" s="9"/>
      <c r="AC11" s="9"/>
      <c r="AD11" s="9">
        <f t="shared" si="0"/>
        <v>913029</v>
      </c>
      <c r="AE11" s="9"/>
      <c r="AF11" s="9"/>
      <c r="AG11" s="9">
        <f t="shared" si="0"/>
        <v>1210673</v>
      </c>
    </row>
    <row r="12" spans="1:34" x14ac:dyDescent="0.25">
      <c r="A12" s="26" t="s">
        <v>19</v>
      </c>
      <c r="B12" s="27"/>
      <c r="C12" s="9">
        <f>C11</f>
        <v>1032281</v>
      </c>
      <c r="D12" s="9"/>
      <c r="E12" s="9">
        <f t="shared" ref="E12:AG12" si="1">E11</f>
        <v>1005497</v>
      </c>
      <c r="F12" s="9"/>
      <c r="G12" s="9">
        <f t="shared" si="1"/>
        <v>1119822</v>
      </c>
      <c r="H12" s="9"/>
      <c r="I12" s="9">
        <f t="shared" si="1"/>
        <v>855201</v>
      </c>
      <c r="J12" s="9"/>
      <c r="K12" s="9"/>
      <c r="L12" s="9">
        <f t="shared" si="1"/>
        <v>847791</v>
      </c>
      <c r="M12" s="9"/>
      <c r="N12" s="9"/>
      <c r="O12" s="9">
        <f t="shared" si="1"/>
        <v>816563</v>
      </c>
      <c r="P12" s="9"/>
      <c r="Q12" s="9"/>
      <c r="R12" s="9">
        <f t="shared" si="1"/>
        <v>871145</v>
      </c>
      <c r="S12" s="9"/>
      <c r="T12" s="9"/>
      <c r="U12" s="9">
        <f t="shared" si="1"/>
        <v>794399</v>
      </c>
      <c r="V12" s="9"/>
      <c r="W12" s="9"/>
      <c r="X12" s="9">
        <f t="shared" si="1"/>
        <v>781296</v>
      </c>
      <c r="Y12" s="9"/>
      <c r="Z12" s="9"/>
      <c r="AA12" s="9">
        <f t="shared" si="1"/>
        <v>816298</v>
      </c>
      <c r="AB12" s="9"/>
      <c r="AC12" s="9"/>
      <c r="AD12" s="9">
        <f t="shared" si="1"/>
        <v>913029</v>
      </c>
      <c r="AE12" s="9"/>
      <c r="AF12" s="9"/>
      <c r="AG12" s="9">
        <f t="shared" si="1"/>
        <v>1210673</v>
      </c>
    </row>
    <row r="21" spans="7:23" x14ac:dyDescent="0.25">
      <c r="G21" s="15"/>
      <c r="H21" s="15"/>
    </row>
    <row r="22" spans="7:23" x14ac:dyDescent="0.25">
      <c r="G22" s="15"/>
      <c r="H22" s="15"/>
    </row>
    <row r="23" spans="7:23" x14ac:dyDescent="0.25">
      <c r="G23" s="15"/>
      <c r="H23" s="15"/>
    </row>
    <row r="24" spans="7:23" x14ac:dyDescent="0.25">
      <c r="G24" s="15"/>
      <c r="H24" s="15"/>
    </row>
    <row r="25" spans="7:23" x14ac:dyDescent="0.25">
      <c r="G25" s="15"/>
      <c r="H25" s="15"/>
    </row>
    <row r="30" spans="7:23" x14ac:dyDescent="0.25">
      <c r="U30" s="16"/>
      <c r="V30" s="16"/>
      <c r="W30" s="16"/>
    </row>
    <row r="31" spans="7:23" x14ac:dyDescent="0.25">
      <c r="U31" s="16"/>
      <c r="V31" s="16"/>
      <c r="W31" s="16"/>
    </row>
    <row r="32" spans="7:23" x14ac:dyDescent="0.25">
      <c r="U32" s="15"/>
      <c r="V32" s="15"/>
      <c r="W32" s="15"/>
    </row>
    <row r="33" spans="21:23" x14ac:dyDescent="0.25">
      <c r="U33" s="16"/>
      <c r="V33" s="16"/>
      <c r="W33" s="16"/>
    </row>
    <row r="34" spans="21:23" x14ac:dyDescent="0.25">
      <c r="U34" s="16"/>
      <c r="V34" s="16"/>
      <c r="W34" s="16"/>
    </row>
  </sheetData>
  <mergeCells count="6">
    <mergeCell ref="A12:B12"/>
    <mergeCell ref="A2:AG2"/>
    <mergeCell ref="A4:A10"/>
    <mergeCell ref="B4:AG4"/>
    <mergeCell ref="B9:AG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Зиновьев Андрей Сергеевич</cp:lastModifiedBy>
  <dcterms:created xsi:type="dcterms:W3CDTF">2013-11-13T16:10:49Z</dcterms:created>
  <dcterms:modified xsi:type="dcterms:W3CDTF">2025-01-22T07:45:31Z</dcterms:modified>
</cp:coreProperties>
</file>