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-15" yWindow="105" windowWidth="10200" windowHeight="7635" firstSheet="8" activeTab="11"/>
  </bookViews>
  <sheets>
    <sheet name="2013 " sheetId="5" state="hidden" r:id="rId1"/>
    <sheet name="2014" sheetId="6" state="hidden" r:id="rId2"/>
    <sheet name="2015 " sheetId="7" state="hidden" r:id="rId3"/>
    <sheet name="2016" sheetId="8" state="hidden" r:id="rId4"/>
    <sheet name="2017" sheetId="9" state="hidden" r:id="rId5"/>
    <sheet name="2018" sheetId="10" state="hidden" r:id="rId6"/>
    <sheet name="2019" sheetId="11" state="hidden" r:id="rId7"/>
    <sheet name="2020" sheetId="12" state="hidden" r:id="rId8"/>
    <sheet name="2021" sheetId="13" r:id="rId9"/>
    <sheet name="2022" sheetId="14" r:id="rId10"/>
    <sheet name="2023" sheetId="15" r:id="rId11"/>
    <sheet name="2024" sheetId="16" r:id="rId12"/>
  </sheets>
  <calcPr calcId="162913"/>
</workbook>
</file>

<file path=xl/calcChain.xml><?xml version="1.0" encoding="utf-8"?>
<calcChain xmlns="http://schemas.openxmlformats.org/spreadsheetml/2006/main">
  <c r="N7" i="16" l="1"/>
  <c r="N6" i="16"/>
  <c r="M7" i="16" l="1"/>
  <c r="M6" i="16"/>
  <c r="L7" i="16" l="1"/>
  <c r="L6" i="16"/>
  <c r="K5" i="16" l="1"/>
  <c r="K6" i="16"/>
  <c r="K7" i="16"/>
  <c r="J7" i="16" l="1"/>
  <c r="J6" i="16"/>
  <c r="J5" i="16"/>
  <c r="I7" i="16" l="1"/>
  <c r="I5" i="16"/>
  <c r="G7" i="16" l="1"/>
  <c r="G5" i="16"/>
  <c r="F7" i="16" l="1"/>
  <c r="F5" i="16"/>
  <c r="E7" i="16" l="1"/>
  <c r="E5" i="16"/>
  <c r="D7" i="16" l="1"/>
  <c r="D5" i="16"/>
  <c r="C7" i="16" l="1"/>
  <c r="C5" i="16"/>
  <c r="K11" i="16" l="1"/>
  <c r="K12" i="16" s="1"/>
  <c r="J11" i="16"/>
  <c r="J12" i="16" s="1"/>
  <c r="G11" i="16"/>
  <c r="G12" i="16" s="1"/>
  <c r="D11" i="16"/>
  <c r="D12" i="16" s="1"/>
  <c r="M11" i="16"/>
  <c r="M12" i="16" s="1"/>
  <c r="L11" i="16"/>
  <c r="L12" i="16" s="1"/>
  <c r="E11" i="16"/>
  <c r="E12" i="16" s="1"/>
  <c r="F11" i="16"/>
  <c r="F12" i="16" s="1"/>
  <c r="N11" i="16"/>
  <c r="N12" i="16" s="1"/>
  <c r="I11" i="16"/>
  <c r="I12" i="16" s="1"/>
  <c r="H11" i="16"/>
  <c r="H12" i="16" s="1"/>
  <c r="C11" i="16"/>
  <c r="C12" i="16" s="1"/>
  <c r="N7" i="15" l="1"/>
  <c r="N5" i="15"/>
  <c r="M7" i="15" l="1"/>
  <c r="M5" i="15"/>
  <c r="L7" i="15" l="1"/>
  <c r="L5" i="15"/>
  <c r="I7" i="15" l="1"/>
  <c r="I5" i="15"/>
  <c r="J5" i="15" l="1"/>
  <c r="K5" i="15"/>
  <c r="J6" i="15"/>
  <c r="J7" i="15"/>
  <c r="K7" i="15"/>
  <c r="J8" i="15"/>
  <c r="H8" i="15" l="1"/>
  <c r="H6" i="15"/>
  <c r="H7" i="15"/>
  <c r="H5" i="15"/>
  <c r="F7" i="15" l="1"/>
  <c r="F6" i="15"/>
  <c r="F5" i="15"/>
  <c r="E7" i="15" l="1"/>
  <c r="E5" i="15"/>
  <c r="D7" i="15" l="1"/>
  <c r="D5" i="15"/>
  <c r="D11" i="15" s="1"/>
  <c r="D12" i="15" s="1"/>
  <c r="C7" i="15" l="1"/>
  <c r="C5" i="15"/>
  <c r="AH10" i="13" l="1"/>
  <c r="AH8" i="13"/>
  <c r="AH7" i="13"/>
  <c r="AH6" i="13"/>
  <c r="AH5" i="13"/>
  <c r="N11" i="15"/>
  <c r="N12" i="15" s="1"/>
  <c r="M11" i="15"/>
  <c r="M12" i="15" s="1"/>
  <c r="L11" i="15"/>
  <c r="L12" i="15" s="1"/>
  <c r="K11" i="15"/>
  <c r="K12" i="15" s="1"/>
  <c r="J11" i="15"/>
  <c r="J12" i="15" s="1"/>
  <c r="I11" i="15"/>
  <c r="I12" i="15" s="1"/>
  <c r="H11" i="15"/>
  <c r="H12" i="15" s="1"/>
  <c r="G11" i="15"/>
  <c r="G12" i="15" s="1"/>
  <c r="F11" i="15"/>
  <c r="F12" i="15" s="1"/>
  <c r="E11" i="15"/>
  <c r="E12" i="15" s="1"/>
  <c r="C11" i="15"/>
  <c r="C12" i="15" s="1"/>
  <c r="AS7" i="14" l="1"/>
  <c r="AS5" i="14"/>
  <c r="AO7" i="14"/>
  <c r="AO5" i="14"/>
  <c r="AK7" i="14"/>
  <c r="AK5" i="14"/>
  <c r="AG7" i="14"/>
  <c r="AG5" i="14"/>
  <c r="AC7" i="14"/>
  <c r="AC5" i="14"/>
  <c r="Y7" i="14"/>
  <c r="Y5" i="14"/>
  <c r="U7" i="14"/>
  <c r="U5" i="14"/>
  <c r="Q7" i="14"/>
  <c r="Q5" i="14"/>
  <c r="M7" i="14"/>
  <c r="M5" i="14"/>
  <c r="J7" i="14"/>
  <c r="J5" i="14"/>
  <c r="G7" i="14"/>
  <c r="G5" i="14"/>
  <c r="D7" i="14"/>
  <c r="D5" i="14"/>
  <c r="W10" i="12"/>
  <c r="W8" i="12"/>
  <c r="W7" i="12"/>
  <c r="W6" i="12"/>
  <c r="W5" i="12"/>
  <c r="M11" i="14"/>
  <c r="M12" i="14"/>
  <c r="AS11" i="14"/>
  <c r="AS12" i="14"/>
  <c r="AO11" i="14"/>
  <c r="AO12" i="14"/>
  <c r="AK11" i="14"/>
  <c r="AK12" i="14"/>
  <c r="AG11" i="14"/>
  <c r="AG12" i="14"/>
  <c r="AC11" i="14"/>
  <c r="AC12" i="14"/>
  <c r="Y11" i="14"/>
  <c r="Y12" i="14"/>
  <c r="U11" i="14"/>
  <c r="U12" i="14"/>
  <c r="Q11" i="14"/>
  <c r="Q12" i="14"/>
  <c r="J11" i="14"/>
  <c r="J12" i="14"/>
  <c r="G11" i="14"/>
  <c r="G12" i="14"/>
  <c r="D11" i="14"/>
  <c r="D12" i="14"/>
  <c r="AG7" i="13"/>
  <c r="AG5" i="13"/>
  <c r="AD10" i="13"/>
  <c r="AD7" i="13"/>
  <c r="AD5" i="13"/>
  <c r="AA7" i="13"/>
  <c r="AA5" i="13"/>
  <c r="X7" i="13"/>
  <c r="X5" i="13"/>
  <c r="U7" i="13"/>
  <c r="U5" i="13"/>
  <c r="R7" i="13"/>
  <c r="R5" i="13"/>
  <c r="O6" i="13"/>
  <c r="O5" i="13"/>
  <c r="L7" i="13"/>
  <c r="L6" i="13"/>
  <c r="L5" i="13"/>
  <c r="G7" i="13"/>
  <c r="G5" i="13"/>
  <c r="E7" i="13"/>
  <c r="E5" i="13"/>
  <c r="C7" i="13"/>
  <c r="C5" i="13"/>
  <c r="X11" i="13"/>
  <c r="X12" i="13"/>
  <c r="L11" i="13"/>
  <c r="L12" i="13"/>
  <c r="C11" i="13"/>
  <c r="C12" i="13"/>
  <c r="AA11" i="13"/>
  <c r="AA12" i="13"/>
  <c r="AG11" i="13"/>
  <c r="AG12" i="13"/>
  <c r="AD11" i="13"/>
  <c r="AD12" i="13"/>
  <c r="U11" i="13"/>
  <c r="U12" i="13"/>
  <c r="R11" i="13"/>
  <c r="R12" i="13"/>
  <c r="O11" i="13"/>
  <c r="O12" i="13"/>
  <c r="I11" i="13"/>
  <c r="I12" i="13"/>
  <c r="G11" i="13"/>
  <c r="G12" i="13"/>
  <c r="E11" i="13"/>
  <c r="E12" i="13"/>
  <c r="T7" i="12"/>
  <c r="T5" i="12"/>
  <c r="V7" i="12"/>
  <c r="V5" i="12"/>
  <c r="O10" i="11"/>
  <c r="O8" i="11"/>
  <c r="O7" i="11"/>
  <c r="O6" i="11"/>
  <c r="R7" i="12"/>
  <c r="R5" i="12"/>
  <c r="N7" i="12"/>
  <c r="N5" i="12"/>
  <c r="L7" i="12"/>
  <c r="L5" i="12"/>
  <c r="J7" i="12"/>
  <c r="J5" i="12"/>
  <c r="I10" i="12"/>
  <c r="I7" i="12"/>
  <c r="H6" i="12"/>
  <c r="H5" i="12"/>
  <c r="F6" i="12"/>
  <c r="I6" i="12"/>
  <c r="F5" i="12"/>
  <c r="E7" i="12"/>
  <c r="E5" i="12"/>
  <c r="D7" i="12"/>
  <c r="D5" i="12"/>
  <c r="Q6" i="11"/>
  <c r="Q7" i="11"/>
  <c r="Q8" i="11"/>
  <c r="Q10" i="11"/>
  <c r="C7" i="12"/>
  <c r="C5" i="12"/>
  <c r="V11" i="12"/>
  <c r="V12" i="12"/>
  <c r="T11" i="12"/>
  <c r="T12" i="12"/>
  <c r="R11" i="12"/>
  <c r="R12" i="12"/>
  <c r="P11" i="12"/>
  <c r="P12" i="12"/>
  <c r="N11" i="12"/>
  <c r="N12" i="12"/>
  <c r="L11" i="12"/>
  <c r="L12" i="12"/>
  <c r="J11" i="12"/>
  <c r="J12" i="12"/>
  <c r="H11" i="12"/>
  <c r="H12" i="12"/>
  <c r="F11" i="12"/>
  <c r="F12" i="12"/>
  <c r="E11" i="12"/>
  <c r="E12" i="12"/>
  <c r="D11" i="12"/>
  <c r="D12" i="12"/>
  <c r="C11" i="12"/>
  <c r="C12" i="12"/>
  <c r="N5" i="11"/>
  <c r="M5" i="11"/>
  <c r="O5" i="11"/>
  <c r="L5" i="11"/>
  <c r="K5" i="11"/>
  <c r="J5" i="11"/>
  <c r="I5" i="11"/>
  <c r="H5" i="11"/>
  <c r="G5" i="11"/>
  <c r="F5" i="11"/>
  <c r="E5" i="11"/>
  <c r="D5" i="11"/>
  <c r="C5" i="11"/>
  <c r="Q5" i="11"/>
  <c r="N11" i="11"/>
  <c r="N12" i="11"/>
  <c r="M11" i="11"/>
  <c r="M12" i="11"/>
  <c r="L11" i="11"/>
  <c r="L12" i="11"/>
  <c r="K11" i="11"/>
  <c r="K12" i="11"/>
  <c r="J11" i="11"/>
  <c r="J12" i="11"/>
  <c r="I11" i="11"/>
  <c r="I12" i="11"/>
  <c r="H11" i="11"/>
  <c r="H12" i="11"/>
  <c r="G11" i="11"/>
  <c r="G12" i="11"/>
  <c r="F11" i="11"/>
  <c r="F12" i="11"/>
  <c r="E11" i="11"/>
  <c r="E12" i="11"/>
  <c r="D11" i="11"/>
  <c r="D12" i="11"/>
  <c r="C11" i="11"/>
  <c r="C12" i="11"/>
  <c r="N5" i="10"/>
  <c r="M5" i="10"/>
  <c r="L5" i="10"/>
  <c r="K5" i="10"/>
  <c r="J5" i="10"/>
  <c r="I5" i="10"/>
  <c r="H5" i="10"/>
  <c r="G5" i="10"/>
  <c r="F5" i="10"/>
  <c r="E5" i="10"/>
  <c r="D5" i="10"/>
  <c r="C5" i="10"/>
  <c r="N11" i="10"/>
  <c r="N12" i="10"/>
  <c r="M11" i="10"/>
  <c r="M12" i="10"/>
  <c r="L11" i="10"/>
  <c r="L12" i="10"/>
  <c r="K11" i="10"/>
  <c r="K12" i="10"/>
  <c r="J11" i="10"/>
  <c r="J12" i="10"/>
  <c r="I11" i="10"/>
  <c r="I12" i="10"/>
  <c r="F11" i="10"/>
  <c r="F12" i="10"/>
  <c r="E11" i="10"/>
  <c r="E12" i="10"/>
  <c r="H11" i="10"/>
  <c r="H12" i="10"/>
  <c r="G11" i="10"/>
  <c r="G12" i="10"/>
  <c r="D11" i="10"/>
  <c r="D12" i="10"/>
  <c r="C11" i="10"/>
  <c r="C12" i="10"/>
  <c r="N6" i="9"/>
  <c r="M6" i="9"/>
  <c r="L6" i="9"/>
  <c r="K6" i="9"/>
  <c r="K12" i="9"/>
  <c r="J6" i="9"/>
  <c r="J12" i="9"/>
  <c r="J13" i="9"/>
  <c r="I6" i="9"/>
  <c r="I12" i="9"/>
  <c r="I13" i="9"/>
  <c r="H6" i="9"/>
  <c r="H5" i="9"/>
  <c r="G6" i="9"/>
  <c r="G5" i="9"/>
  <c r="G12" i="9"/>
  <c r="G13" i="9"/>
  <c r="F6" i="9"/>
  <c r="F5" i="9"/>
  <c r="E11" i="9"/>
  <c r="E9" i="9"/>
  <c r="E8" i="9"/>
  <c r="E7" i="9"/>
  <c r="E6" i="9"/>
  <c r="E5" i="9"/>
  <c r="D6" i="9"/>
  <c r="D5" i="9"/>
  <c r="C6" i="9"/>
  <c r="C5" i="9"/>
  <c r="N12" i="9"/>
  <c r="N13" i="9"/>
  <c r="M12" i="9"/>
  <c r="M13" i="9"/>
  <c r="L12" i="9"/>
  <c r="L13" i="9"/>
  <c r="K13" i="9"/>
  <c r="H12" i="9"/>
  <c r="H13" i="9"/>
  <c r="F12" i="9"/>
  <c r="F13" i="9"/>
  <c r="E12" i="9"/>
  <c r="E13" i="9"/>
  <c r="D12" i="9"/>
  <c r="D13" i="9"/>
  <c r="C12" i="9"/>
  <c r="C13" i="9"/>
  <c r="N12" i="8"/>
  <c r="N13" i="8"/>
  <c r="M12" i="8"/>
  <c r="M13" i="8"/>
  <c r="L12" i="8"/>
  <c r="L13" i="8"/>
  <c r="K12" i="8"/>
  <c r="K13" i="8"/>
  <c r="J12" i="8"/>
  <c r="J13" i="8"/>
  <c r="I12" i="8"/>
  <c r="I13" i="8"/>
  <c r="H12" i="8"/>
  <c r="H13" i="8"/>
  <c r="G12" i="8"/>
  <c r="G13" i="8"/>
  <c r="F12" i="8"/>
  <c r="F13" i="8"/>
  <c r="E12" i="8"/>
  <c r="E13" i="8"/>
  <c r="D12" i="8"/>
  <c r="D13" i="8"/>
  <c r="C12" i="8"/>
  <c r="C13" i="8"/>
  <c r="D12" i="7"/>
  <c r="D13" i="7"/>
  <c r="E12" i="7"/>
  <c r="E13" i="7"/>
  <c r="F12" i="7"/>
  <c r="F13" i="7"/>
  <c r="G12" i="7"/>
  <c r="G13" i="7"/>
  <c r="H12" i="7"/>
  <c r="H13" i="7"/>
  <c r="I12" i="7"/>
  <c r="I13" i="7"/>
  <c r="J12" i="7"/>
  <c r="J13" i="7"/>
  <c r="K12" i="7"/>
  <c r="K13" i="7"/>
  <c r="L12" i="7"/>
  <c r="L13" i="7"/>
  <c r="M12" i="7"/>
  <c r="M13" i="7"/>
  <c r="N12" i="7"/>
  <c r="N13" i="7"/>
  <c r="C12" i="7"/>
  <c r="C13" i="7"/>
  <c r="D11" i="5"/>
  <c r="E11" i="5"/>
  <c r="F11" i="5"/>
  <c r="G11" i="5"/>
  <c r="H11" i="5"/>
  <c r="I11" i="5"/>
  <c r="J11" i="5"/>
  <c r="K11" i="5"/>
  <c r="L11" i="5"/>
  <c r="M11" i="5"/>
  <c r="N11" i="5"/>
  <c r="C11" i="5"/>
  <c r="D12" i="6"/>
  <c r="E12" i="6"/>
  <c r="F12" i="6"/>
  <c r="G12" i="6"/>
  <c r="H12" i="6"/>
  <c r="I12" i="6"/>
  <c r="J12" i="6"/>
  <c r="K12" i="6"/>
  <c r="L12" i="6"/>
  <c r="M12" i="6"/>
  <c r="N12" i="6"/>
  <c r="C12" i="6"/>
  <c r="C13" i="6"/>
  <c r="N13" i="6"/>
  <c r="M13" i="6"/>
  <c r="L13" i="6"/>
  <c r="K13" i="6"/>
  <c r="J13" i="6"/>
  <c r="I13" i="6"/>
  <c r="H13" i="6"/>
  <c r="G13" i="6"/>
  <c r="F13" i="6"/>
  <c r="E13" i="6"/>
  <c r="D13" i="6"/>
  <c r="C12" i="5"/>
  <c r="N12" i="5"/>
  <c r="M12" i="5"/>
  <c r="L12" i="5"/>
  <c r="K12" i="5"/>
  <c r="J12" i="5"/>
  <c r="I12" i="5"/>
  <c r="H12" i="5"/>
  <c r="G12" i="5"/>
  <c r="F12" i="5"/>
  <c r="E12" i="5"/>
  <c r="D12" i="5"/>
</calcChain>
</file>

<file path=xl/sharedStrings.xml><?xml version="1.0" encoding="utf-8"?>
<sst xmlns="http://schemas.openxmlformats.org/spreadsheetml/2006/main" count="292" uniqueCount="37">
  <si>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</si>
  <si>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</si>
  <si>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</si>
  <si>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</si>
  <si>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</si>
  <si>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</si>
  <si>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</si>
  <si>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</si>
  <si>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</si>
  <si>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</si>
  <si>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</si>
  <si>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</si>
  <si>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</si>
  <si>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</si>
  <si>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</si>
  <si>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</si>
  <si>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</si>
  <si>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</si>
  <si>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</si>
  <si>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Прочие потребители, кВтч</t>
  </si>
  <si>
    <t>Население, кВтч</t>
  </si>
  <si>
    <t>ВН1</t>
  </si>
  <si>
    <t>Информация о фактическом полезном отпуске электрической энергии (мощности) потребителям ООО "РУСЭНЕРГОСБЫТ" в границах Ростовской области в разрезе ТСО за 2015 год</t>
  </si>
  <si>
    <t xml:space="preserve">ОАО "МРСК Юга" филиал "Ростовэнерго" </t>
  </si>
  <si>
    <t>Информация о фактическом полезном отпуске электрической энергии (мощности) потребителям ООО "РУСЭНЕРГОСБЫТ" в границах Ростовской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</si>
  <si>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Ростовской области в разрезе ТСО за 2013 год</t>
  </si>
  <si>
    <t xml:space="preserve">ПАО "МРСК Юга" филиал "Ростовэнерго" </t>
  </si>
  <si>
    <t>Информация о фактическом полезном отпуске электрической энергии (мощности) потребителям ООО "РУСЭНЕРГОСБЫТ" в границах Ростовской области в разрезе ТСО за 2016 год</t>
  </si>
  <si>
    <t>Информация о фактическом полезном отпуске электрической энергии (мощности) потребителям ООО "РУСЭНЕРГОСБЫТ" в границах Ростовской области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</si>
  <si>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Ростовской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</si>
  <si>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Ростовской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</si>
  <si>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Ростовской области в разрезе ТСО за 2020 год</t>
  </si>
  <si>
    <t xml:space="preserve">Филиал ПАО «Россети Юг» - "Ростовэнерго" </t>
  </si>
  <si>
    <t>Информация о фактическом полезном отпуске электрической энергии (мощности) потребителям ООО "РУСЭНЕРГОСБЫТ" в границах Ростовской области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</si>
  <si>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Ростовской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</si>
  <si>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Ростовской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</si>
  <si>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Ростовской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</si>
</sst>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vertical="center"/>
    </xf>
    <xf numFmtId="3" fontId="3" fillId="0" borderId="6" xfId="0" applyNumberFormat="1" applyFont="1" applyBorder="1" applyAlignment="1">
      <alignment horizontal="center"/>
    </xf>
    <xf numFmtId="3" fontId="2" fillId="2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N12"/>
  <sheetViews>
    <sheetView workbookViewId="0">
      <selection activeCell="B5" sqref="A5:XFD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8" t="s">
        <v>25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19" t="s">
        <v>23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0"/>
      <c r="B5" s="5" t="s">
        <v>14</v>
      </c>
      <c r="C5" s="3">
        <v>75194569</v>
      </c>
      <c r="D5" s="3">
        <v>65897982</v>
      </c>
      <c r="E5" s="3">
        <v>69101435</v>
      </c>
      <c r="F5" s="3">
        <v>61330216</v>
      </c>
      <c r="G5" s="3">
        <v>59426688</v>
      </c>
      <c r="H5" s="3">
        <v>70720372</v>
      </c>
      <c r="I5" s="3">
        <v>79404446</v>
      </c>
      <c r="J5" s="3">
        <v>79642540</v>
      </c>
      <c r="K5" s="3">
        <v>69229832</v>
      </c>
      <c r="L5" s="3">
        <v>67844341</v>
      </c>
      <c r="M5" s="3">
        <v>65023033</v>
      </c>
      <c r="N5" s="3">
        <v>77772567</v>
      </c>
    </row>
    <row r="6" spans="1:14" ht="22.5" customHeight="1" x14ac:dyDescent="0.25">
      <c r="A6" s="20"/>
      <c r="B6" s="5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20"/>
      <c r="B7" s="5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20"/>
      <c r="B8" s="5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20"/>
      <c r="B9" s="21" t="s">
        <v>20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4" ht="22.5" customHeight="1" x14ac:dyDescent="0.25">
      <c r="A10" s="20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30.75" customHeight="1" x14ac:dyDescent="0.25">
      <c r="A11" s="20"/>
      <c r="B11" s="6" t="s">
        <v>18</v>
      </c>
      <c r="C11" s="3">
        <f t="shared" ref="C11:N11" si="0">SUM(C5:C8,C10)</f>
        <v>75194569</v>
      </c>
      <c r="D11" s="3">
        <f t="shared" si="0"/>
        <v>65897982</v>
      </c>
      <c r="E11" s="3">
        <f t="shared" si="0"/>
        <v>69101435</v>
      </c>
      <c r="F11" s="3">
        <f t="shared" si="0"/>
        <v>61330216</v>
      </c>
      <c r="G11" s="3">
        <f t="shared" si="0"/>
        <v>59426688</v>
      </c>
      <c r="H11" s="3">
        <f t="shared" si="0"/>
        <v>70720372</v>
      </c>
      <c r="I11" s="3">
        <f t="shared" si="0"/>
        <v>79404446</v>
      </c>
      <c r="J11" s="3">
        <f t="shared" si="0"/>
        <v>79642540</v>
      </c>
      <c r="K11" s="3">
        <f t="shared" si="0"/>
        <v>69229832</v>
      </c>
      <c r="L11" s="3">
        <f t="shared" si="0"/>
        <v>67844341</v>
      </c>
      <c r="M11" s="3">
        <f t="shared" si="0"/>
        <v>65023033</v>
      </c>
      <c r="N11" s="3">
        <f t="shared" si="0"/>
        <v>77772567</v>
      </c>
    </row>
    <row r="12" spans="1:14" ht="22.5" customHeight="1" x14ac:dyDescent="0.25">
      <c r="A12" s="24" t="s">
        <v>18</v>
      </c>
      <c r="B12" s="25"/>
      <c r="C12" s="10">
        <f>C11</f>
        <v>75194569</v>
      </c>
      <c r="D12" s="10">
        <f t="shared" ref="D12:N12" si="1">D11</f>
        <v>65897982</v>
      </c>
      <c r="E12" s="10">
        <f t="shared" si="1"/>
        <v>69101435</v>
      </c>
      <c r="F12" s="10">
        <f t="shared" si="1"/>
        <v>61330216</v>
      </c>
      <c r="G12" s="10">
        <f t="shared" si="1"/>
        <v>59426688</v>
      </c>
      <c r="H12" s="10">
        <f t="shared" si="1"/>
        <v>70720372</v>
      </c>
      <c r="I12" s="10">
        <f t="shared" si="1"/>
        <v>79404446</v>
      </c>
      <c r="J12" s="10">
        <f t="shared" si="1"/>
        <v>79642540</v>
      </c>
      <c r="K12" s="10">
        <f t="shared" si="1"/>
        <v>69229832</v>
      </c>
      <c r="L12" s="10">
        <f t="shared" si="1"/>
        <v>67844341</v>
      </c>
      <c r="M12" s="10">
        <f t="shared" si="1"/>
        <v>65023033</v>
      </c>
      <c r="N12" s="10">
        <f t="shared" si="1"/>
        <v>77772567</v>
      </c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2:AT12"/>
  <sheetViews>
    <sheetView zoomScale="70" zoomScaleNormal="70" workbookViewId="0">
      <selection activeCell="AT1" sqref="AT1:AT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20.140625" style="1" customWidth="1"/>
    <col min="5" max="6" width="20.140625" style="1" hidden="1" customWidth="1"/>
    <col min="7" max="7" width="20.140625" style="1" customWidth="1"/>
    <col min="8" max="9" width="20.140625" style="1" hidden="1" customWidth="1"/>
    <col min="10" max="10" width="20.140625" style="1" customWidth="1"/>
    <col min="11" max="12" width="20.140625" style="1" hidden="1" customWidth="1"/>
    <col min="13" max="13" width="20.140625" style="1" customWidth="1"/>
    <col min="14" max="16" width="20.140625" style="1" hidden="1" customWidth="1"/>
    <col min="17" max="17" width="20.140625" style="1" customWidth="1"/>
    <col min="18" max="20" width="20.140625" style="1" hidden="1" customWidth="1"/>
    <col min="21" max="21" width="20.140625" style="1" customWidth="1"/>
    <col min="22" max="24" width="20.140625" style="1" hidden="1" customWidth="1"/>
    <col min="25" max="25" width="20.140625" style="1" customWidth="1"/>
    <col min="26" max="28" width="20.140625" style="1" hidden="1" customWidth="1"/>
    <col min="29" max="29" width="20.140625" style="1" customWidth="1"/>
    <col min="30" max="32" width="20.140625" style="1" hidden="1" customWidth="1"/>
    <col min="33" max="33" width="20.140625" style="1" customWidth="1"/>
    <col min="34" max="36" width="20.140625" style="1" hidden="1" customWidth="1"/>
    <col min="37" max="37" width="20.140625" style="1" customWidth="1"/>
    <col min="38" max="40" width="20.140625" style="1" hidden="1" customWidth="1"/>
    <col min="41" max="41" width="20.140625" style="1" customWidth="1"/>
    <col min="42" max="44" width="20.140625" style="1" hidden="1" customWidth="1"/>
    <col min="45" max="45" width="20.140625" style="1" customWidth="1"/>
    <col min="46" max="46" width="9.140625" style="14"/>
    <col min="47" max="16384" width="9.140625" style="1"/>
  </cols>
  <sheetData>
    <row r="2" spans="1:46" ht="42.75" customHeight="1" x14ac:dyDescent="0.25">
      <c r="A2" s="18" t="s">
        <v>34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</row>
    <row r="3" spans="1:46" s="2" customFormat="1" ht="33" customHeight="1" x14ac:dyDescent="0.25">
      <c r="A3" s="7" t="s">
        <v>0</v>
      </c>
      <c r="B3" s="8" t="s">
        <v>1</v>
      </c>
      <c r="C3" s="8"/>
      <c r="D3" s="9" t="s">
        <v>2</v>
      </c>
      <c r="E3" s="9"/>
      <c r="F3" s="9"/>
      <c r="G3" s="9" t="s">
        <v>3</v>
      </c>
      <c r="H3" s="9"/>
      <c r="I3" s="9"/>
      <c r="J3" s="9" t="s">
        <v>4</v>
      </c>
      <c r="K3" s="9"/>
      <c r="L3" s="9"/>
      <c r="M3" s="9" t="s">
        <v>5</v>
      </c>
      <c r="N3" s="9"/>
      <c r="O3" s="9"/>
      <c r="P3" s="9"/>
      <c r="Q3" s="9" t="s">
        <v>6</v>
      </c>
      <c r="R3" s="9"/>
      <c r="S3" s="9"/>
      <c r="T3" s="9"/>
      <c r="U3" s="9" t="s">
        <v>7</v>
      </c>
      <c r="V3" s="9"/>
      <c r="W3" s="9"/>
      <c r="X3" s="9"/>
      <c r="Y3" s="9" t="s">
        <v>8</v>
      </c>
      <c r="Z3" s="9"/>
      <c r="AA3" s="9"/>
      <c r="AB3" s="9"/>
      <c r="AC3" s="9" t="s">
        <v>9</v>
      </c>
      <c r="AD3" s="9"/>
      <c r="AE3" s="9"/>
      <c r="AF3" s="9"/>
      <c r="AG3" s="9" t="s">
        <v>10</v>
      </c>
      <c r="AH3" s="9"/>
      <c r="AI3" s="9"/>
      <c r="AJ3" s="9"/>
      <c r="AK3" s="9" t="s">
        <v>11</v>
      </c>
      <c r="AL3" s="9"/>
      <c r="AM3" s="9"/>
      <c r="AN3" s="9"/>
      <c r="AO3" s="9" t="s">
        <v>12</v>
      </c>
      <c r="AP3" s="9"/>
      <c r="AQ3" s="9"/>
      <c r="AR3" s="9"/>
      <c r="AS3" s="9" t="s">
        <v>13</v>
      </c>
      <c r="AT3" s="15"/>
    </row>
    <row r="4" spans="1:46" ht="22.5" customHeight="1" x14ac:dyDescent="0.25">
      <c r="A4" s="26" t="s">
        <v>32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3"/>
    </row>
    <row r="5" spans="1:46" ht="22.5" customHeight="1" x14ac:dyDescent="0.25">
      <c r="A5" s="27"/>
      <c r="B5" s="5" t="s">
        <v>14</v>
      </c>
      <c r="C5" s="5">
        <v>0.94492519142621867</v>
      </c>
      <c r="D5" s="3">
        <f>58009497+4701753</f>
        <v>62711250</v>
      </c>
      <c r="E5" s="3"/>
      <c r="F5" s="3">
        <v>0.87147332690857837</v>
      </c>
      <c r="G5" s="3">
        <f>46199787+3380644</f>
        <v>49580431</v>
      </c>
      <c r="H5" s="3"/>
      <c r="I5" s="3">
        <v>1.1490811995235073</v>
      </c>
      <c r="J5" s="3">
        <f>51412973+4238323</f>
        <v>55651296</v>
      </c>
      <c r="K5" s="3"/>
      <c r="L5" s="3">
        <v>0.84891847874145099</v>
      </c>
      <c r="M5" s="3">
        <f>46392280+2427811</f>
        <v>48820091</v>
      </c>
      <c r="N5" s="3"/>
      <c r="O5" s="3"/>
      <c r="P5" s="3">
        <v>1.0964370548936007</v>
      </c>
      <c r="Q5" s="3">
        <f>51680014+2258462</f>
        <v>53938476</v>
      </c>
      <c r="R5" s="3"/>
      <c r="S5" s="3"/>
      <c r="T5" s="3">
        <v>1.0567837994408762</v>
      </c>
      <c r="U5" s="3">
        <f>49425435+2732636</f>
        <v>52158071</v>
      </c>
      <c r="V5" s="3"/>
      <c r="W5" s="3"/>
      <c r="X5" s="3">
        <v>0.94864140669192287</v>
      </c>
      <c r="Y5" s="3">
        <f>52714216+2512908</f>
        <v>55227124</v>
      </c>
      <c r="Z5" s="3"/>
      <c r="AA5" s="3"/>
      <c r="AB5" s="3">
        <v>1.0398850548206806</v>
      </c>
      <c r="AC5" s="3">
        <f>56130235+2703271</f>
        <v>58833506</v>
      </c>
      <c r="AD5" s="3"/>
      <c r="AE5" s="3"/>
      <c r="AF5" s="3">
        <v>0.95832391558891172</v>
      </c>
      <c r="AG5" s="3">
        <f>50730403+2163694</f>
        <v>52894097</v>
      </c>
      <c r="AH5" s="3"/>
      <c r="AI5" s="3"/>
      <c r="AJ5" s="3">
        <v>0.9852964067049621</v>
      </c>
      <c r="AK5" s="3">
        <f>50068886+2929215</f>
        <v>52998101</v>
      </c>
      <c r="AL5" s="3"/>
      <c r="AM5" s="3"/>
      <c r="AN5" s="3">
        <v>0.986569413919828</v>
      </c>
      <c r="AO5" s="3">
        <f>48273500+3609389</f>
        <v>51882889</v>
      </c>
      <c r="AP5" s="3"/>
      <c r="AQ5" s="3"/>
      <c r="AR5" s="3">
        <v>1.0993899353518106</v>
      </c>
      <c r="AS5" s="3">
        <f>58245659+4785813</f>
        <v>63031472</v>
      </c>
    </row>
    <row r="6" spans="1:46" ht="22.5" customHeight="1" x14ac:dyDescent="0.25">
      <c r="A6" s="27"/>
      <c r="B6" s="5" t="s">
        <v>15</v>
      </c>
      <c r="C6" s="5">
        <v>0.96980620155038755</v>
      </c>
      <c r="D6" s="3">
        <v>238122</v>
      </c>
      <c r="E6" s="3"/>
      <c r="F6" s="3">
        <v>0.92994773279334253</v>
      </c>
      <c r="G6" s="3">
        <v>185065</v>
      </c>
      <c r="H6" s="3"/>
      <c r="I6" s="3">
        <v>1.0060024640186425</v>
      </c>
      <c r="J6" s="3">
        <v>208197</v>
      </c>
      <c r="K6" s="3"/>
      <c r="L6" s="3">
        <v>0.74592136554153154</v>
      </c>
      <c r="M6" s="3">
        <v>102727</v>
      </c>
      <c r="N6" s="3"/>
      <c r="O6" s="3"/>
      <c r="P6" s="3">
        <v>1.9101270172580562</v>
      </c>
      <c r="Q6" s="3">
        <v>109740</v>
      </c>
      <c r="T6" s="1">
        <v>0.82285409691336431</v>
      </c>
      <c r="U6" s="3">
        <v>91873</v>
      </c>
      <c r="V6" s="3"/>
      <c r="W6" s="3"/>
      <c r="X6" s="3">
        <v>0.74839266049102804</v>
      </c>
      <c r="Y6" s="3">
        <v>113472</v>
      </c>
      <c r="Z6" s="3"/>
      <c r="AA6" s="3"/>
      <c r="AB6" s="3">
        <v>0.75104275427786227</v>
      </c>
      <c r="AC6" s="3">
        <v>118699</v>
      </c>
      <c r="AD6" s="3"/>
      <c r="AE6" s="3"/>
      <c r="AF6" s="3">
        <v>0.14032471835652749</v>
      </c>
      <c r="AG6" s="3">
        <v>258384</v>
      </c>
      <c r="AH6" s="3"/>
      <c r="AI6" s="3"/>
      <c r="AJ6" s="3">
        <v>7.8782916688055025</v>
      </c>
      <c r="AK6" s="3">
        <v>154592</v>
      </c>
      <c r="AL6" s="3"/>
      <c r="AM6" s="3"/>
      <c r="AN6" s="3">
        <v>1.2171726056672987</v>
      </c>
      <c r="AO6" s="3">
        <v>176822</v>
      </c>
      <c r="AP6" s="3"/>
      <c r="AQ6" s="3"/>
      <c r="AR6" s="3">
        <v>1.3358475011776798</v>
      </c>
      <c r="AS6" s="3">
        <v>213855</v>
      </c>
    </row>
    <row r="7" spans="1:46" ht="22.5" customHeight="1" x14ac:dyDescent="0.25">
      <c r="A7" s="27"/>
      <c r="B7" s="5" t="s">
        <v>16</v>
      </c>
      <c r="C7" s="5">
        <v>1.3295402467904243</v>
      </c>
      <c r="D7" s="3">
        <f>142750+957964</f>
        <v>1100714</v>
      </c>
      <c r="E7" s="3"/>
      <c r="F7" s="3">
        <v>0.72556070634690972</v>
      </c>
      <c r="G7" s="3">
        <f>118570+592096</f>
        <v>710666</v>
      </c>
      <c r="H7" s="3"/>
      <c r="I7" s="3">
        <v>0.8572291905352718</v>
      </c>
      <c r="J7" s="3">
        <f>136850+771660</f>
        <v>908510</v>
      </c>
      <c r="K7" s="3"/>
      <c r="L7" s="3">
        <v>0.90548560838146008</v>
      </c>
      <c r="M7" s="3">
        <f>107995+489636</f>
        <v>597631</v>
      </c>
      <c r="N7" s="3"/>
      <c r="O7" s="3"/>
      <c r="P7" s="3">
        <v>0.85688665454923285</v>
      </c>
      <c r="Q7" s="3">
        <f>126009+545916</f>
        <v>671925</v>
      </c>
      <c r="R7" s="3"/>
      <c r="S7" s="3"/>
      <c r="T7" s="3">
        <v>0.67713306158246711</v>
      </c>
      <c r="U7" s="3">
        <f>125611+509923</f>
        <v>635534</v>
      </c>
      <c r="V7" s="3"/>
      <c r="W7" s="3"/>
      <c r="X7" s="3">
        <v>1.5652558941638517</v>
      </c>
      <c r="Y7" s="3">
        <f>128422+464527</f>
        <v>592949</v>
      </c>
      <c r="Z7" s="3"/>
      <c r="AA7" s="3"/>
      <c r="AB7" s="3">
        <v>0.908524859930259</v>
      </c>
      <c r="AC7" s="3">
        <f>116100+596820</f>
        <v>712920</v>
      </c>
      <c r="AD7" s="3"/>
      <c r="AE7" s="3"/>
      <c r="AF7" s="3">
        <v>0.91183822172235285</v>
      </c>
      <c r="AG7" s="3">
        <f>97000+506304</f>
        <v>603304</v>
      </c>
      <c r="AH7" s="3"/>
      <c r="AI7" s="3"/>
      <c r="AJ7" s="3">
        <v>1.3937767570502404</v>
      </c>
      <c r="AK7" s="3">
        <f>101200+593056</f>
        <v>694256</v>
      </c>
      <c r="AL7" s="3"/>
      <c r="AM7" s="3"/>
      <c r="AN7" s="3">
        <v>1.0783333265467616</v>
      </c>
      <c r="AO7" s="3">
        <f>128000+740766</f>
        <v>868766</v>
      </c>
      <c r="AP7" s="3"/>
      <c r="AQ7" s="3"/>
      <c r="AR7" s="3">
        <v>1.1230721205949694</v>
      </c>
      <c r="AS7" s="3">
        <f>151800+1001500</f>
        <v>1153300</v>
      </c>
    </row>
    <row r="8" spans="1:46" ht="22.5" customHeight="1" x14ac:dyDescent="0.25">
      <c r="A8" s="27"/>
      <c r="B8" s="5" t="s">
        <v>17</v>
      </c>
      <c r="C8" s="5">
        <v>0.98349174587293642</v>
      </c>
      <c r="D8" s="3">
        <v>4254</v>
      </c>
      <c r="E8" s="3"/>
      <c r="F8" s="3">
        <v>1.0305188199389623</v>
      </c>
      <c r="G8" s="3">
        <v>3472</v>
      </c>
      <c r="H8" s="3"/>
      <c r="I8" s="3">
        <v>0.83785784797630802</v>
      </c>
      <c r="J8" s="3">
        <v>3383</v>
      </c>
      <c r="K8" s="3"/>
      <c r="L8" s="3">
        <v>0.63240058910162</v>
      </c>
      <c r="M8" s="3">
        <v>2327</v>
      </c>
      <c r="N8" s="3"/>
      <c r="O8" s="3"/>
      <c r="P8" s="3">
        <v>1.2841173730787145</v>
      </c>
      <c r="Q8" s="3">
        <v>1462</v>
      </c>
      <c r="R8" s="3"/>
      <c r="S8" s="3"/>
      <c r="T8" s="3">
        <v>0.7957925281102648</v>
      </c>
      <c r="U8" s="3">
        <v>2118</v>
      </c>
      <c r="V8" s="3"/>
      <c r="W8" s="3"/>
      <c r="X8" s="3">
        <v>1.0929808568824066</v>
      </c>
      <c r="Y8" s="3">
        <v>1389</v>
      </c>
      <c r="Z8" s="3"/>
      <c r="AA8" s="3"/>
      <c r="AB8" s="3">
        <v>1.0913261050875729</v>
      </c>
      <c r="AC8" s="3">
        <v>1837</v>
      </c>
      <c r="AD8" s="3"/>
      <c r="AE8" s="3"/>
      <c r="AF8" s="3">
        <v>0.80588460068781043</v>
      </c>
      <c r="AG8" s="3">
        <v>1962</v>
      </c>
      <c r="AH8" s="3"/>
      <c r="AI8" s="3"/>
      <c r="AJ8" s="3">
        <v>1.1076339497392129</v>
      </c>
      <c r="AK8" s="3">
        <v>2725</v>
      </c>
      <c r="AL8" s="3"/>
      <c r="AM8" s="3"/>
      <c r="AN8" s="3">
        <v>1.03125</v>
      </c>
      <c r="AO8" s="3">
        <v>3002</v>
      </c>
      <c r="AP8" s="3"/>
      <c r="AQ8" s="3"/>
      <c r="AR8" s="3">
        <v>1.1876297218762972</v>
      </c>
      <c r="AS8" s="3">
        <v>4408</v>
      </c>
    </row>
    <row r="9" spans="1:46" ht="22.5" customHeight="1" x14ac:dyDescent="0.25">
      <c r="A9" s="27"/>
      <c r="B9" s="21" t="s">
        <v>20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3"/>
    </row>
    <row r="10" spans="1:46" ht="22.5" customHeight="1" x14ac:dyDescent="0.25">
      <c r="A10" s="27"/>
      <c r="B10" s="4"/>
      <c r="C10" s="4">
        <v>0.92041522491349481</v>
      </c>
      <c r="D10" s="3">
        <v>26439</v>
      </c>
      <c r="E10" s="3"/>
      <c r="F10" s="3">
        <v>0.97707979626485564</v>
      </c>
      <c r="G10" s="3">
        <v>26572</v>
      </c>
      <c r="H10" s="3"/>
      <c r="I10" s="3">
        <v>1.3819039344669233</v>
      </c>
      <c r="J10" s="3">
        <v>25780</v>
      </c>
      <c r="K10" s="3"/>
      <c r="L10" s="3">
        <v>0.6337345069157535</v>
      </c>
      <c r="M10" s="3">
        <v>13352</v>
      </c>
      <c r="N10" s="3"/>
      <c r="O10" s="3"/>
      <c r="P10" s="3">
        <v>1.0504535147392291</v>
      </c>
      <c r="Q10" s="3">
        <v>6998</v>
      </c>
      <c r="R10" s="3"/>
      <c r="S10" s="3"/>
      <c r="T10" s="3">
        <v>0.89044792228818137</v>
      </c>
      <c r="U10" s="3">
        <v>7942</v>
      </c>
      <c r="V10" s="3"/>
      <c r="W10" s="3"/>
      <c r="X10" s="3">
        <v>1.2093939393939395</v>
      </c>
      <c r="Y10" s="3">
        <v>8125</v>
      </c>
      <c r="Z10" s="3"/>
      <c r="AA10" s="3"/>
      <c r="AB10" s="3">
        <v>1.2442996742671011</v>
      </c>
      <c r="AC10" s="3">
        <v>9256</v>
      </c>
      <c r="AD10" s="3"/>
      <c r="AE10" s="3"/>
      <c r="AF10" s="3">
        <v>0.78252114377768833</v>
      </c>
      <c r="AG10" s="3">
        <v>8327</v>
      </c>
      <c r="AH10" s="3"/>
      <c r="AI10" s="3"/>
      <c r="AJ10" s="3">
        <v>1.1273803396809059</v>
      </c>
      <c r="AK10" s="3">
        <v>7145</v>
      </c>
      <c r="AL10" s="3"/>
      <c r="AM10" s="3"/>
      <c r="AN10" s="3">
        <v>0.85882218671536181</v>
      </c>
      <c r="AO10" s="3">
        <v>6690</v>
      </c>
      <c r="AP10" s="3"/>
      <c r="AQ10" s="3"/>
      <c r="AR10" s="3">
        <v>0.98963455149501656</v>
      </c>
      <c r="AS10" s="3">
        <v>9013</v>
      </c>
    </row>
    <row r="11" spans="1:46" ht="22.5" customHeight="1" x14ac:dyDescent="0.25">
      <c r="A11" s="28"/>
      <c r="B11" s="6" t="s">
        <v>18</v>
      </c>
      <c r="C11" s="6"/>
      <c r="D11" s="10">
        <f t="shared" ref="D11:AS11" si="0">SUM(D5:D8,D10)</f>
        <v>64080779</v>
      </c>
      <c r="E11" s="10"/>
      <c r="F11" s="10"/>
      <c r="G11" s="10">
        <f t="shared" si="0"/>
        <v>50506206</v>
      </c>
      <c r="H11" s="10"/>
      <c r="I11" s="10"/>
      <c r="J11" s="10">
        <f t="shared" si="0"/>
        <v>56797166</v>
      </c>
      <c r="K11" s="10"/>
      <c r="L11" s="10"/>
      <c r="M11" s="10">
        <f t="shared" si="0"/>
        <v>49536128</v>
      </c>
      <c r="N11" s="10"/>
      <c r="O11" s="10"/>
      <c r="P11" s="10"/>
      <c r="Q11" s="10">
        <f t="shared" si="0"/>
        <v>54728601</v>
      </c>
      <c r="R11" s="10"/>
      <c r="S11" s="10"/>
      <c r="T11" s="10"/>
      <c r="U11" s="10">
        <f t="shared" si="0"/>
        <v>52895538</v>
      </c>
      <c r="V11" s="10"/>
      <c r="W11" s="10"/>
      <c r="X11" s="10"/>
      <c r="Y11" s="10">
        <f t="shared" si="0"/>
        <v>55943059</v>
      </c>
      <c r="Z11" s="10"/>
      <c r="AA11" s="10"/>
      <c r="AB11" s="10"/>
      <c r="AC11" s="10">
        <f t="shared" si="0"/>
        <v>59676218</v>
      </c>
      <c r="AD11" s="10"/>
      <c r="AE11" s="10"/>
      <c r="AF11" s="10"/>
      <c r="AG11" s="10">
        <f t="shared" si="0"/>
        <v>53766074</v>
      </c>
      <c r="AH11" s="10"/>
      <c r="AI11" s="10"/>
      <c r="AJ11" s="10"/>
      <c r="AK11" s="10">
        <f t="shared" si="0"/>
        <v>53856819</v>
      </c>
      <c r="AL11" s="10"/>
      <c r="AM11" s="10"/>
      <c r="AN11" s="10"/>
      <c r="AO11" s="10">
        <f t="shared" si="0"/>
        <v>52938169</v>
      </c>
      <c r="AP11" s="10"/>
      <c r="AQ11" s="10"/>
      <c r="AR11" s="10"/>
      <c r="AS11" s="10">
        <f t="shared" si="0"/>
        <v>64412048</v>
      </c>
    </row>
    <row r="12" spans="1:46" ht="22.5" customHeight="1" x14ac:dyDescent="0.25">
      <c r="A12" s="24" t="s">
        <v>18</v>
      </c>
      <c r="B12" s="25"/>
      <c r="C12" s="16"/>
      <c r="D12" s="10">
        <f>D11</f>
        <v>64080779</v>
      </c>
      <c r="E12" s="10"/>
      <c r="F12" s="10"/>
      <c r="G12" s="10">
        <f t="shared" ref="G12:AS12" si="1">G11</f>
        <v>50506206</v>
      </c>
      <c r="H12" s="10"/>
      <c r="I12" s="10"/>
      <c r="J12" s="10">
        <f t="shared" si="1"/>
        <v>56797166</v>
      </c>
      <c r="K12" s="10"/>
      <c r="L12" s="10"/>
      <c r="M12" s="10">
        <f t="shared" si="1"/>
        <v>49536128</v>
      </c>
      <c r="N12" s="10"/>
      <c r="O12" s="10"/>
      <c r="P12" s="10"/>
      <c r="Q12" s="10">
        <f t="shared" si="1"/>
        <v>54728601</v>
      </c>
      <c r="R12" s="10"/>
      <c r="S12" s="10"/>
      <c r="T12" s="10"/>
      <c r="U12" s="10">
        <f t="shared" si="1"/>
        <v>52895538</v>
      </c>
      <c r="V12" s="10"/>
      <c r="W12" s="10"/>
      <c r="X12" s="10"/>
      <c r="Y12" s="10">
        <f t="shared" si="1"/>
        <v>55943059</v>
      </c>
      <c r="Z12" s="10"/>
      <c r="AA12" s="10"/>
      <c r="AB12" s="10"/>
      <c r="AC12" s="10">
        <f t="shared" si="1"/>
        <v>59676218</v>
      </c>
      <c r="AD12" s="10"/>
      <c r="AE12" s="10"/>
      <c r="AF12" s="10"/>
      <c r="AG12" s="10">
        <f t="shared" si="1"/>
        <v>53766074</v>
      </c>
      <c r="AH12" s="10"/>
      <c r="AI12" s="10"/>
      <c r="AJ12" s="10"/>
      <c r="AK12" s="10">
        <f t="shared" si="1"/>
        <v>53856819</v>
      </c>
      <c r="AL12" s="10"/>
      <c r="AM12" s="10"/>
      <c r="AN12" s="10"/>
      <c r="AO12" s="10">
        <f t="shared" si="1"/>
        <v>52938169</v>
      </c>
      <c r="AP12" s="10"/>
      <c r="AQ12" s="10"/>
      <c r="AR12" s="10"/>
      <c r="AS12" s="10">
        <f t="shared" si="1"/>
        <v>64412048</v>
      </c>
    </row>
  </sheetData>
  <mergeCells count="5">
    <mergeCell ref="A2:AS2"/>
    <mergeCell ref="A4:A11"/>
    <mergeCell ref="B4:AS4"/>
    <mergeCell ref="B9:AS9"/>
    <mergeCell ref="A12:B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2:N12"/>
  <sheetViews>
    <sheetView topLeftCell="C1" zoomScale="85" zoomScaleNormal="85" workbookViewId="0">
      <selection activeCell="N11" sqref="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0.140625" style="1" customWidth="1"/>
    <col min="15" max="16384" width="9.140625" style="1"/>
  </cols>
  <sheetData>
    <row r="2" spans="1:14" ht="42.75" customHeight="1" x14ac:dyDescent="0.25">
      <c r="A2" s="18" t="s">
        <v>35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6" t="s">
        <v>32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7"/>
      <c r="B5" s="5" t="s">
        <v>14</v>
      </c>
      <c r="C5" s="3">
        <f>60772232+4350484</f>
        <v>65122716</v>
      </c>
      <c r="D5" s="3">
        <f>51536720+4023809</f>
        <v>55560529</v>
      </c>
      <c r="E5" s="3">
        <f>46435047+3690053</f>
        <v>50125100</v>
      </c>
      <c r="F5" s="17">
        <f>44510783+2837163</f>
        <v>47347946</v>
      </c>
      <c r="G5" s="3">
        <v>49928095</v>
      </c>
      <c r="H5" s="3">
        <f>48347608+2441158</f>
        <v>50788766</v>
      </c>
      <c r="I5" s="3">
        <f>54305116+2809127</f>
        <v>57114243</v>
      </c>
      <c r="J5" s="3">
        <f>52196783+2581268</f>
        <v>54778051</v>
      </c>
      <c r="K5" s="3">
        <f>48220135+2137516</f>
        <v>50357651</v>
      </c>
      <c r="L5" s="3">
        <f>45897385+3027631</f>
        <v>48925016</v>
      </c>
      <c r="M5" s="3">
        <f>47314649+3621852</f>
        <v>50936501</v>
      </c>
      <c r="N5" s="3">
        <f>55657667+4269880</f>
        <v>59927547</v>
      </c>
    </row>
    <row r="6" spans="1:14" ht="22.5" customHeight="1" x14ac:dyDescent="0.25">
      <c r="A6" s="27"/>
      <c r="B6" s="5" t="s">
        <v>15</v>
      </c>
      <c r="C6" s="3">
        <v>242569</v>
      </c>
      <c r="D6" s="3">
        <v>209633</v>
      </c>
      <c r="E6" s="3">
        <v>154851</v>
      </c>
      <c r="F6" s="17">
        <f>140122</f>
        <v>140122</v>
      </c>
      <c r="G6" s="3">
        <v>119407</v>
      </c>
      <c r="H6" s="3">
        <f>103424-1778</f>
        <v>101646</v>
      </c>
      <c r="I6" s="3">
        <v>391986</v>
      </c>
      <c r="J6" s="3">
        <f>202895-1359</f>
        <v>201536</v>
      </c>
      <c r="K6" s="3">
        <v>259746</v>
      </c>
      <c r="L6" s="3">
        <v>306262</v>
      </c>
      <c r="M6" s="3">
        <v>190897</v>
      </c>
      <c r="N6" s="3">
        <v>272860</v>
      </c>
    </row>
    <row r="7" spans="1:14" ht="22.5" customHeight="1" x14ac:dyDescent="0.25">
      <c r="A7" s="27"/>
      <c r="B7" s="5" t="s">
        <v>16</v>
      </c>
      <c r="C7" s="3">
        <f>148200+918777</f>
        <v>1066977</v>
      </c>
      <c r="D7" s="3">
        <f>134000+910740</f>
        <v>1044740</v>
      </c>
      <c r="E7" s="3">
        <f>111000+690385</f>
        <v>801385</v>
      </c>
      <c r="F7" s="17">
        <f>97000+412605</f>
        <v>509605</v>
      </c>
      <c r="G7" s="3">
        <v>496622</v>
      </c>
      <c r="H7" s="3">
        <f>98122+356199</f>
        <v>454321</v>
      </c>
      <c r="I7" s="3">
        <f>94100+420729</f>
        <v>514829</v>
      </c>
      <c r="J7" s="3">
        <f>119000+429917</f>
        <v>548917</v>
      </c>
      <c r="K7" s="3">
        <f>117000+321582</f>
        <v>438582</v>
      </c>
      <c r="L7" s="3">
        <f>110200+456974</f>
        <v>567174</v>
      </c>
      <c r="M7" s="3">
        <f>120500+517524</f>
        <v>638024</v>
      </c>
      <c r="N7" s="3">
        <f>140000+781546</f>
        <v>921546</v>
      </c>
    </row>
    <row r="8" spans="1:14" ht="22.5" customHeight="1" x14ac:dyDescent="0.25">
      <c r="A8" s="27"/>
      <c r="B8" s="5" t="s">
        <v>17</v>
      </c>
      <c r="C8" s="3">
        <v>4093</v>
      </c>
      <c r="D8" s="3">
        <v>14599</v>
      </c>
      <c r="E8" s="3">
        <v>3144</v>
      </c>
      <c r="F8" s="17">
        <v>2512</v>
      </c>
      <c r="G8" s="3">
        <v>11325</v>
      </c>
      <c r="H8" s="3">
        <f>6096-3976</f>
        <v>2120</v>
      </c>
      <c r="I8" s="3">
        <v>1820</v>
      </c>
      <c r="J8" s="3">
        <f>6407-4283</f>
        <v>2124</v>
      </c>
      <c r="K8" s="3">
        <v>2487</v>
      </c>
      <c r="L8" s="3">
        <v>2744</v>
      </c>
      <c r="M8" s="3">
        <v>4623</v>
      </c>
      <c r="N8" s="3">
        <v>3845</v>
      </c>
    </row>
    <row r="9" spans="1:14" ht="22.5" customHeight="1" x14ac:dyDescent="0.25">
      <c r="A9" s="27"/>
      <c r="B9" s="21" t="s">
        <v>20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4" ht="22.5" customHeight="1" x14ac:dyDescent="0.25">
      <c r="A10" s="27"/>
      <c r="B10" s="4"/>
      <c r="C10" s="3">
        <v>8932</v>
      </c>
      <c r="D10" s="3">
        <v>8442</v>
      </c>
      <c r="E10" s="3">
        <v>6381</v>
      </c>
      <c r="F10" s="3">
        <v>4665</v>
      </c>
      <c r="G10" s="3">
        <v>6590</v>
      </c>
      <c r="H10" s="3">
        <v>5754</v>
      </c>
      <c r="I10" s="3">
        <v>6555</v>
      </c>
      <c r="J10" s="3">
        <v>5642</v>
      </c>
      <c r="K10" s="3">
        <v>5391</v>
      </c>
      <c r="L10" s="3">
        <v>6743</v>
      </c>
      <c r="M10" s="3">
        <v>5626</v>
      </c>
      <c r="N10" s="3">
        <v>6793</v>
      </c>
    </row>
    <row r="11" spans="1:14" ht="22.5" customHeight="1" x14ac:dyDescent="0.25">
      <c r="A11" s="28"/>
      <c r="B11" s="6" t="s">
        <v>18</v>
      </c>
      <c r="C11" s="10">
        <f t="shared" ref="C11:N11" si="0">SUM(C5:C8,C10)</f>
        <v>66445287</v>
      </c>
      <c r="D11" s="10">
        <f>SUM(D5:D8,D10)</f>
        <v>56837943</v>
      </c>
      <c r="E11" s="10">
        <f t="shared" si="0"/>
        <v>51090861</v>
      </c>
      <c r="F11" s="10">
        <f t="shared" si="0"/>
        <v>48004850</v>
      </c>
      <c r="G11" s="10">
        <f t="shared" si="0"/>
        <v>50562039</v>
      </c>
      <c r="H11" s="10">
        <f t="shared" si="0"/>
        <v>51352607</v>
      </c>
      <c r="I11" s="10">
        <f t="shared" si="0"/>
        <v>58029433</v>
      </c>
      <c r="J11" s="10">
        <f t="shared" si="0"/>
        <v>55536270</v>
      </c>
      <c r="K11" s="10">
        <f t="shared" si="0"/>
        <v>51063857</v>
      </c>
      <c r="L11" s="10">
        <f t="shared" si="0"/>
        <v>49807939</v>
      </c>
      <c r="M11" s="10">
        <f t="shared" si="0"/>
        <v>51775671</v>
      </c>
      <c r="N11" s="10">
        <f t="shared" si="0"/>
        <v>61132591</v>
      </c>
    </row>
    <row r="12" spans="1:14" ht="22.5" customHeight="1" x14ac:dyDescent="0.25">
      <c r="A12" s="24" t="s">
        <v>18</v>
      </c>
      <c r="B12" s="25"/>
      <c r="C12" s="10">
        <f>C11</f>
        <v>66445287</v>
      </c>
      <c r="D12" s="10">
        <f>D11</f>
        <v>56837943</v>
      </c>
      <c r="E12" s="10">
        <f t="shared" ref="E12:N12" si="1">E11</f>
        <v>51090861</v>
      </c>
      <c r="F12" s="10">
        <f t="shared" si="1"/>
        <v>48004850</v>
      </c>
      <c r="G12" s="10">
        <f t="shared" si="1"/>
        <v>50562039</v>
      </c>
      <c r="H12" s="10">
        <f t="shared" si="1"/>
        <v>51352607</v>
      </c>
      <c r="I12" s="10">
        <f t="shared" si="1"/>
        <v>58029433</v>
      </c>
      <c r="J12" s="10">
        <f t="shared" si="1"/>
        <v>55536270</v>
      </c>
      <c r="K12" s="10">
        <f t="shared" si="1"/>
        <v>51063857</v>
      </c>
      <c r="L12" s="10">
        <f t="shared" si="1"/>
        <v>49807939</v>
      </c>
      <c r="M12" s="10">
        <f t="shared" si="1"/>
        <v>51775671</v>
      </c>
      <c r="N12" s="10">
        <f t="shared" si="1"/>
        <v>61132591</v>
      </c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2:N12"/>
  <sheetViews>
    <sheetView tabSelected="1" zoomScale="85" zoomScaleNormal="85" workbookViewId="0">
      <selection activeCell="N5" sqref="N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0.140625" style="1" customWidth="1"/>
    <col min="15" max="16384" width="9.140625" style="1"/>
  </cols>
  <sheetData>
    <row r="2" spans="1:14" ht="42.75" customHeight="1" x14ac:dyDescent="0.25">
      <c r="A2" s="18" t="s">
        <v>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6" t="s">
        <v>32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7"/>
      <c r="B5" s="5" t="s">
        <v>14</v>
      </c>
      <c r="C5" s="3">
        <f>54638964+4827398</f>
        <v>59466362</v>
      </c>
      <c r="D5" s="3">
        <f>48142784+3444787</f>
        <v>51587571</v>
      </c>
      <c r="E5" s="3">
        <f>45211092+2766230</f>
        <v>47977322</v>
      </c>
      <c r="F5" s="17">
        <f>39009521+1429559</f>
        <v>40439080</v>
      </c>
      <c r="G5" s="3">
        <f>43566196+1784272</f>
        <v>45350468</v>
      </c>
      <c r="H5" s="3">
        <v>51072401</v>
      </c>
      <c r="I5" s="3">
        <f>47575542+2585221</f>
        <v>50160763</v>
      </c>
      <c r="J5" s="3">
        <f>50854591+2155161</f>
        <v>53009752</v>
      </c>
      <c r="K5" s="3">
        <f>52532713+1647703</f>
        <v>54180416</v>
      </c>
      <c r="L5" s="3">
        <v>46796525</v>
      </c>
      <c r="M5" s="3">
        <v>48859813</v>
      </c>
      <c r="N5" s="3">
        <v>57189878.999999993</v>
      </c>
    </row>
    <row r="6" spans="1:14" ht="22.5" customHeight="1" x14ac:dyDescent="0.25">
      <c r="A6" s="27"/>
      <c r="B6" s="5" t="s">
        <v>15</v>
      </c>
      <c r="C6" s="3">
        <v>332762</v>
      </c>
      <c r="D6" s="3">
        <v>239632</v>
      </c>
      <c r="E6" s="3">
        <v>222600</v>
      </c>
      <c r="F6" s="17">
        <v>149396</v>
      </c>
      <c r="G6" s="3">
        <v>145454</v>
      </c>
      <c r="H6" s="3">
        <v>127623</v>
      </c>
      <c r="I6" s="3">
        <v>386730</v>
      </c>
      <c r="J6" s="3">
        <f>11223+132911</f>
        <v>144134</v>
      </c>
      <c r="K6" s="3">
        <f>5739+191352</f>
        <v>197091</v>
      </c>
      <c r="L6" s="3">
        <f>15798+177628</f>
        <v>193426</v>
      </c>
      <c r="M6" s="3">
        <f>238211+16418</f>
        <v>254629</v>
      </c>
      <c r="N6" s="3">
        <f>294484+14709</f>
        <v>309193</v>
      </c>
    </row>
    <row r="7" spans="1:14" ht="22.5" customHeight="1" x14ac:dyDescent="0.25">
      <c r="A7" s="27"/>
      <c r="B7" s="5" t="s">
        <v>16</v>
      </c>
      <c r="C7" s="3">
        <f>123190+886686</f>
        <v>1009876</v>
      </c>
      <c r="D7" s="3">
        <f>108880+1100951</f>
        <v>1209831</v>
      </c>
      <c r="E7" s="3">
        <f>115000+1455193</f>
        <v>1570193</v>
      </c>
      <c r="F7" s="17">
        <f>102330+1230531</f>
        <v>1332861</v>
      </c>
      <c r="G7" s="3">
        <f>119222+1024234</f>
        <v>1143456</v>
      </c>
      <c r="H7" s="3">
        <v>1244549</v>
      </c>
      <c r="I7" s="3">
        <f>137000+868107</f>
        <v>1005107</v>
      </c>
      <c r="J7" s="3">
        <f>130000+700929</f>
        <v>830929</v>
      </c>
      <c r="K7" s="3">
        <f>122500+823760</f>
        <v>946260</v>
      </c>
      <c r="L7" s="3">
        <f>108500+1248404</f>
        <v>1356904</v>
      </c>
      <c r="M7" s="3">
        <f>1592823+118000</f>
        <v>1710823</v>
      </c>
      <c r="N7" s="3">
        <f>1836381+115000</f>
        <v>1951381</v>
      </c>
    </row>
    <row r="8" spans="1:14" ht="22.5" customHeight="1" x14ac:dyDescent="0.25">
      <c r="A8" s="27"/>
      <c r="B8" s="5" t="s">
        <v>17</v>
      </c>
      <c r="C8" s="3">
        <v>4766</v>
      </c>
      <c r="D8" s="3">
        <v>3930</v>
      </c>
      <c r="E8" s="3">
        <v>4464</v>
      </c>
      <c r="F8" s="17">
        <v>18225</v>
      </c>
      <c r="G8" s="3">
        <v>11804</v>
      </c>
      <c r="H8" s="3">
        <v>10207</v>
      </c>
      <c r="I8" s="3">
        <v>11493</v>
      </c>
      <c r="J8" s="3">
        <v>11505</v>
      </c>
      <c r="K8" s="3">
        <v>11127</v>
      </c>
      <c r="L8" s="3">
        <v>15993</v>
      </c>
      <c r="M8" s="3">
        <v>27077</v>
      </c>
      <c r="N8" s="3">
        <v>29228</v>
      </c>
    </row>
    <row r="9" spans="1:14" ht="22.5" customHeight="1" x14ac:dyDescent="0.25">
      <c r="A9" s="27"/>
      <c r="B9" s="21" t="s">
        <v>20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4" ht="22.5" customHeight="1" x14ac:dyDescent="0.25">
      <c r="A10" s="27"/>
      <c r="B10" s="4"/>
      <c r="C10" s="3">
        <v>6698</v>
      </c>
      <c r="D10" s="3">
        <v>5195</v>
      </c>
      <c r="E10" s="3">
        <v>5605</v>
      </c>
      <c r="F10" s="3">
        <v>8136</v>
      </c>
      <c r="G10" s="3">
        <v>3448</v>
      </c>
      <c r="H10" s="3">
        <v>4630</v>
      </c>
      <c r="I10" s="3">
        <v>6133</v>
      </c>
      <c r="J10" s="3">
        <v>6395</v>
      </c>
      <c r="K10" s="3">
        <v>5100</v>
      </c>
      <c r="L10" s="3">
        <v>4558</v>
      </c>
      <c r="M10" s="3">
        <v>6958</v>
      </c>
      <c r="N10" s="3">
        <v>6172</v>
      </c>
    </row>
    <row r="11" spans="1:14" ht="22.5" customHeight="1" x14ac:dyDescent="0.25">
      <c r="A11" s="28"/>
      <c r="B11" s="6" t="s">
        <v>18</v>
      </c>
      <c r="C11" s="10">
        <f t="shared" ref="C11:N11" si="0">SUM(C5:C8,C10)</f>
        <v>60820464</v>
      </c>
      <c r="D11" s="10">
        <f>SUM(D5:D8,D10)</f>
        <v>53046159</v>
      </c>
      <c r="E11" s="10">
        <f t="shared" si="0"/>
        <v>49780184</v>
      </c>
      <c r="F11" s="10">
        <f t="shared" si="0"/>
        <v>41947698</v>
      </c>
      <c r="G11" s="10">
        <f t="shared" si="0"/>
        <v>46654630</v>
      </c>
      <c r="H11" s="10">
        <f t="shared" si="0"/>
        <v>52459410</v>
      </c>
      <c r="I11" s="10">
        <f t="shared" si="0"/>
        <v>51570226</v>
      </c>
      <c r="J11" s="10">
        <f t="shared" si="0"/>
        <v>54002715</v>
      </c>
      <c r="K11" s="10">
        <f t="shared" si="0"/>
        <v>55339994</v>
      </c>
      <c r="L11" s="10">
        <f t="shared" si="0"/>
        <v>48367406</v>
      </c>
      <c r="M11" s="10">
        <f t="shared" si="0"/>
        <v>50859300</v>
      </c>
      <c r="N11" s="10">
        <f t="shared" si="0"/>
        <v>59485852.999999993</v>
      </c>
    </row>
    <row r="12" spans="1:14" ht="22.5" customHeight="1" x14ac:dyDescent="0.25">
      <c r="A12" s="24" t="s">
        <v>18</v>
      </c>
      <c r="B12" s="25"/>
      <c r="C12" s="10">
        <f>C11</f>
        <v>60820464</v>
      </c>
      <c r="D12" s="10">
        <f>D11</f>
        <v>53046159</v>
      </c>
      <c r="E12" s="10">
        <f t="shared" ref="E12:N12" si="1">E11</f>
        <v>49780184</v>
      </c>
      <c r="F12" s="10">
        <f t="shared" si="1"/>
        <v>41947698</v>
      </c>
      <c r="G12" s="10">
        <f t="shared" si="1"/>
        <v>46654630</v>
      </c>
      <c r="H12" s="10">
        <f t="shared" si="1"/>
        <v>52459410</v>
      </c>
      <c r="I12" s="10">
        <f t="shared" si="1"/>
        <v>51570226</v>
      </c>
      <c r="J12" s="10">
        <f t="shared" si="1"/>
        <v>54002715</v>
      </c>
      <c r="K12" s="10">
        <f t="shared" si="1"/>
        <v>55339994</v>
      </c>
      <c r="L12" s="10">
        <f t="shared" si="1"/>
        <v>48367406</v>
      </c>
      <c r="M12" s="10">
        <f t="shared" si="1"/>
        <v>50859300</v>
      </c>
      <c r="N12" s="10">
        <f t="shared" si="1"/>
        <v>59485852.999999993</v>
      </c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N13"/>
  <sheetViews>
    <sheetView workbookViewId="0">
      <selection activeCell="D6" sqref="D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8" t="s">
        <v>24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19" t="s">
        <v>23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0"/>
      <c r="B5" s="5" t="s">
        <v>21</v>
      </c>
      <c r="C5" s="3">
        <v>38514859</v>
      </c>
      <c r="D5" s="3">
        <v>32684628</v>
      </c>
      <c r="E5" s="3">
        <v>36292497</v>
      </c>
      <c r="F5" s="3">
        <v>35155831</v>
      </c>
      <c r="G5" s="3">
        <v>33349252</v>
      </c>
      <c r="H5" s="3">
        <v>38976807</v>
      </c>
      <c r="I5" s="3">
        <v>42531860</v>
      </c>
      <c r="J5" s="3">
        <v>40125207</v>
      </c>
      <c r="K5" s="3">
        <v>36834004</v>
      </c>
      <c r="L5" s="3">
        <v>36732351</v>
      </c>
      <c r="M5" s="3">
        <v>36759067</v>
      </c>
      <c r="N5" s="3">
        <v>43164693</v>
      </c>
    </row>
    <row r="6" spans="1:14" ht="22.5" customHeight="1" x14ac:dyDescent="0.25">
      <c r="A6" s="20"/>
      <c r="B6" s="5" t="s">
        <v>14</v>
      </c>
      <c r="C6" s="3">
        <v>37287082</v>
      </c>
      <c r="D6" s="3">
        <v>32084683</v>
      </c>
      <c r="E6" s="3">
        <v>33695383</v>
      </c>
      <c r="F6" s="3">
        <v>29035766</v>
      </c>
      <c r="G6" s="3">
        <v>27880272</v>
      </c>
      <c r="H6" s="3">
        <v>31631578</v>
      </c>
      <c r="I6" s="3">
        <v>32935783.000000004</v>
      </c>
      <c r="J6" s="3">
        <v>37200950</v>
      </c>
      <c r="K6" s="3">
        <v>31905903</v>
      </c>
      <c r="L6" s="3">
        <v>31478073</v>
      </c>
      <c r="M6" s="3">
        <v>31551167</v>
      </c>
      <c r="N6" s="3">
        <v>35604021</v>
      </c>
    </row>
    <row r="7" spans="1:14" ht="22.5" customHeight="1" x14ac:dyDescent="0.25">
      <c r="A7" s="20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20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20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20"/>
      <c r="B10" s="21" t="s">
        <v>20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</row>
    <row r="11" spans="1:14" ht="22.5" customHeight="1" x14ac:dyDescent="0.25">
      <c r="A11" s="20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30.75" customHeight="1" x14ac:dyDescent="0.25">
      <c r="A12" s="20"/>
      <c r="B12" s="6" t="s">
        <v>18</v>
      </c>
      <c r="C12" s="3">
        <f>SUM(C5:C9,C11)</f>
        <v>75801941</v>
      </c>
      <c r="D12" s="3">
        <f t="shared" ref="D12:N12" si="0">SUM(D5:D9,D11)</f>
        <v>64769311</v>
      </c>
      <c r="E12" s="3">
        <f t="shared" si="0"/>
        <v>69987880</v>
      </c>
      <c r="F12" s="3">
        <f t="shared" si="0"/>
        <v>64191597</v>
      </c>
      <c r="G12" s="3">
        <f t="shared" si="0"/>
        <v>61229524</v>
      </c>
      <c r="H12" s="3">
        <f t="shared" si="0"/>
        <v>70608385</v>
      </c>
      <c r="I12" s="3">
        <f t="shared" si="0"/>
        <v>75467643</v>
      </c>
      <c r="J12" s="3">
        <f t="shared" si="0"/>
        <v>77326157</v>
      </c>
      <c r="K12" s="3">
        <f t="shared" si="0"/>
        <v>68739907</v>
      </c>
      <c r="L12" s="3">
        <f t="shared" si="0"/>
        <v>68210424</v>
      </c>
      <c r="M12" s="3">
        <f t="shared" si="0"/>
        <v>68310234</v>
      </c>
      <c r="N12" s="3">
        <f t="shared" si="0"/>
        <v>78768714</v>
      </c>
    </row>
    <row r="13" spans="1:14" ht="22.5" customHeight="1" x14ac:dyDescent="0.25">
      <c r="A13" s="24" t="s">
        <v>18</v>
      </c>
      <c r="B13" s="25"/>
      <c r="C13" s="10">
        <f>C12</f>
        <v>75801941</v>
      </c>
      <c r="D13" s="10">
        <f t="shared" ref="D13:M13" si="1">D12</f>
        <v>64769311</v>
      </c>
      <c r="E13" s="10">
        <f t="shared" si="1"/>
        <v>69987880</v>
      </c>
      <c r="F13" s="10">
        <f t="shared" si="1"/>
        <v>64191597</v>
      </c>
      <c r="G13" s="10">
        <f t="shared" si="1"/>
        <v>61229524</v>
      </c>
      <c r="H13" s="10">
        <f t="shared" si="1"/>
        <v>70608385</v>
      </c>
      <c r="I13" s="10">
        <f t="shared" si="1"/>
        <v>75467643</v>
      </c>
      <c r="J13" s="10">
        <f>J12</f>
        <v>77326157</v>
      </c>
      <c r="K13" s="10">
        <f t="shared" si="1"/>
        <v>68739907</v>
      </c>
      <c r="L13" s="10">
        <f>L12</f>
        <v>68210424</v>
      </c>
      <c r="M13" s="10">
        <f t="shared" si="1"/>
        <v>68310234</v>
      </c>
      <c r="N13" s="10">
        <f>N12</f>
        <v>78768714</v>
      </c>
    </row>
  </sheetData>
  <mergeCells count="5">
    <mergeCell ref="A2:N2"/>
    <mergeCell ref="A4:A12"/>
    <mergeCell ref="B4:N4"/>
    <mergeCell ref="B10:N10"/>
    <mergeCell ref="A13:B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N13"/>
  <sheetViews>
    <sheetView topLeftCell="D1" workbookViewId="0">
      <selection activeCell="D1"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6" t="s">
        <v>26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7"/>
      <c r="B5" s="5" t="s">
        <v>21</v>
      </c>
      <c r="C5" s="12">
        <v>38630890</v>
      </c>
      <c r="D5" s="12">
        <v>33147708</v>
      </c>
      <c r="E5" s="12">
        <v>34898500</v>
      </c>
      <c r="F5" s="12">
        <v>45918546</v>
      </c>
      <c r="G5" s="3">
        <v>30971572</v>
      </c>
      <c r="H5" s="3">
        <v>32582131</v>
      </c>
      <c r="I5" s="3">
        <v>35243396</v>
      </c>
      <c r="J5" s="3">
        <v>36097870</v>
      </c>
      <c r="K5" s="3">
        <v>35428490</v>
      </c>
      <c r="L5" s="3">
        <v>31998349</v>
      </c>
      <c r="M5" s="3">
        <v>32274724</v>
      </c>
      <c r="N5" s="3">
        <v>34871105</v>
      </c>
    </row>
    <row r="6" spans="1:14" ht="22.5" customHeight="1" x14ac:dyDescent="0.25">
      <c r="A6" s="27"/>
      <c r="B6" s="5" t="s">
        <v>14</v>
      </c>
      <c r="C6" s="3">
        <v>35484102</v>
      </c>
      <c r="D6" s="3">
        <v>29323110</v>
      </c>
      <c r="E6" s="3">
        <v>35993637</v>
      </c>
      <c r="F6" s="3">
        <v>15434759</v>
      </c>
      <c r="G6" s="3">
        <v>28141095</v>
      </c>
      <c r="H6" s="3">
        <v>31771057</v>
      </c>
      <c r="I6" s="3">
        <v>36657402</v>
      </c>
      <c r="J6" s="3">
        <v>38486104</v>
      </c>
      <c r="K6" s="3">
        <v>34760687</v>
      </c>
      <c r="L6" s="3">
        <v>34441207</v>
      </c>
      <c r="M6" s="3">
        <v>34651569</v>
      </c>
      <c r="N6" s="3">
        <v>39052838</v>
      </c>
    </row>
    <row r="7" spans="1:14" ht="22.5" customHeight="1" x14ac:dyDescent="0.25">
      <c r="A7" s="27"/>
      <c r="B7" s="5" t="s">
        <v>15</v>
      </c>
      <c r="C7" s="11"/>
      <c r="D7" s="11"/>
      <c r="E7" s="11"/>
      <c r="F7" s="11"/>
      <c r="G7" s="11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27"/>
      <c r="B8" s="5" t="s">
        <v>16</v>
      </c>
      <c r="C8" s="11"/>
      <c r="D8" s="11"/>
      <c r="E8" s="11"/>
      <c r="F8" s="11"/>
      <c r="G8" s="11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27"/>
      <c r="B9" s="5" t="s">
        <v>17</v>
      </c>
      <c r="C9" s="11"/>
      <c r="D9" s="11"/>
      <c r="E9" s="11"/>
      <c r="F9" s="11"/>
      <c r="G9" s="11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27"/>
      <c r="B10" s="21" t="s">
        <v>20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</row>
    <row r="11" spans="1:14" ht="22.5" customHeight="1" x14ac:dyDescent="0.25">
      <c r="A11" s="27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28"/>
      <c r="B12" s="6" t="s">
        <v>18</v>
      </c>
      <c r="C12" s="3">
        <f>SUM(C5:C9,C11)</f>
        <v>74114992</v>
      </c>
      <c r="D12" s="3">
        <f t="shared" ref="D12:N12" si="0">SUM(D5:D9,D11)</f>
        <v>62470818</v>
      </c>
      <c r="E12" s="3">
        <f t="shared" si="0"/>
        <v>70892137</v>
      </c>
      <c r="F12" s="3">
        <f t="shared" si="0"/>
        <v>61353305</v>
      </c>
      <c r="G12" s="3">
        <f t="shared" si="0"/>
        <v>59112667</v>
      </c>
      <c r="H12" s="3">
        <f t="shared" si="0"/>
        <v>64353188</v>
      </c>
      <c r="I12" s="3">
        <f t="shared" si="0"/>
        <v>71900798</v>
      </c>
      <c r="J12" s="3">
        <f t="shared" si="0"/>
        <v>74583974</v>
      </c>
      <c r="K12" s="3">
        <f t="shared" si="0"/>
        <v>70189177</v>
      </c>
      <c r="L12" s="3">
        <f t="shared" si="0"/>
        <v>66439556</v>
      </c>
      <c r="M12" s="3">
        <f t="shared" si="0"/>
        <v>66926293</v>
      </c>
      <c r="N12" s="3">
        <f t="shared" si="0"/>
        <v>73923943</v>
      </c>
    </row>
    <row r="13" spans="1:14" ht="22.5" customHeight="1" x14ac:dyDescent="0.25">
      <c r="A13" s="24" t="s">
        <v>18</v>
      </c>
      <c r="B13" s="25"/>
      <c r="C13" s="10">
        <f>C12</f>
        <v>74114992</v>
      </c>
      <c r="D13" s="10">
        <f t="shared" ref="D13:N13" si="1">D12</f>
        <v>62470818</v>
      </c>
      <c r="E13" s="10">
        <f t="shared" si="1"/>
        <v>70892137</v>
      </c>
      <c r="F13" s="10">
        <f t="shared" si="1"/>
        <v>61353305</v>
      </c>
      <c r="G13" s="10">
        <f t="shared" si="1"/>
        <v>59112667</v>
      </c>
      <c r="H13" s="10">
        <f t="shared" si="1"/>
        <v>64353188</v>
      </c>
      <c r="I13" s="10">
        <f t="shared" si="1"/>
        <v>71900798</v>
      </c>
      <c r="J13" s="10">
        <f t="shared" si="1"/>
        <v>74583974</v>
      </c>
      <c r="K13" s="10">
        <f t="shared" si="1"/>
        <v>70189177</v>
      </c>
      <c r="L13" s="10">
        <f t="shared" si="1"/>
        <v>66439556</v>
      </c>
      <c r="M13" s="10">
        <f t="shared" si="1"/>
        <v>66926293</v>
      </c>
      <c r="N13" s="10">
        <f t="shared" si="1"/>
        <v>73923943</v>
      </c>
    </row>
  </sheetData>
  <mergeCells count="5">
    <mergeCell ref="A2:N2"/>
    <mergeCell ref="B4:N4"/>
    <mergeCell ref="B10:N10"/>
    <mergeCell ref="A13:B13"/>
    <mergeCell ref="A4:A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N13"/>
  <sheetViews>
    <sheetView topLeftCell="D1" workbookViewId="0">
      <selection activeCell="L20" sqref="L2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8" t="s">
        <v>27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6" t="s">
        <v>26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7"/>
      <c r="B5" s="5" t="s">
        <v>21</v>
      </c>
      <c r="C5" s="12">
        <v>34698200</v>
      </c>
      <c r="D5" s="12">
        <v>31054231</v>
      </c>
      <c r="E5" s="12">
        <v>33580091</v>
      </c>
      <c r="F5" s="12">
        <v>31115754</v>
      </c>
      <c r="G5" s="12">
        <v>32418436</v>
      </c>
      <c r="H5" s="12">
        <v>37222268</v>
      </c>
      <c r="I5" s="12">
        <v>39935291</v>
      </c>
      <c r="J5" s="12">
        <v>39419885</v>
      </c>
      <c r="K5" s="12">
        <v>36820828</v>
      </c>
      <c r="L5" s="12">
        <v>33134807</v>
      </c>
      <c r="M5" s="12">
        <v>33599998</v>
      </c>
      <c r="N5" s="12">
        <v>37472811</v>
      </c>
    </row>
    <row r="6" spans="1:14" ht="22.5" customHeight="1" x14ac:dyDescent="0.25">
      <c r="A6" s="27"/>
      <c r="B6" s="5" t="s">
        <v>14</v>
      </c>
      <c r="C6" s="3">
        <v>36845088</v>
      </c>
      <c r="D6" s="3">
        <v>31618157</v>
      </c>
      <c r="E6" s="3">
        <v>34990281</v>
      </c>
      <c r="F6" s="3">
        <v>31820441</v>
      </c>
      <c r="G6" s="3">
        <v>30811738</v>
      </c>
      <c r="H6" s="3">
        <v>33902030</v>
      </c>
      <c r="I6" s="3">
        <v>39766745</v>
      </c>
      <c r="J6" s="3">
        <v>40506643</v>
      </c>
      <c r="K6" s="3">
        <v>33617963</v>
      </c>
      <c r="L6" s="3">
        <v>33258399</v>
      </c>
      <c r="M6" s="3">
        <v>31791075</v>
      </c>
      <c r="N6" s="3">
        <v>35311279</v>
      </c>
    </row>
    <row r="7" spans="1:14" ht="22.5" customHeight="1" x14ac:dyDescent="0.25">
      <c r="A7" s="27"/>
      <c r="B7" s="5" t="s">
        <v>15</v>
      </c>
      <c r="C7" s="11"/>
      <c r="D7" s="11"/>
      <c r="E7" s="11"/>
      <c r="F7" s="11"/>
      <c r="G7" s="11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27"/>
      <c r="B8" s="5" t="s">
        <v>16</v>
      </c>
      <c r="C8" s="11"/>
      <c r="D8" s="11"/>
      <c r="E8" s="11"/>
      <c r="F8" s="11"/>
      <c r="G8" s="11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27"/>
      <c r="B9" s="5" t="s">
        <v>17</v>
      </c>
      <c r="C9" s="11"/>
      <c r="D9" s="11"/>
      <c r="E9" s="11"/>
      <c r="F9" s="11"/>
      <c r="G9" s="11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27"/>
      <c r="B10" s="21" t="s">
        <v>20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</row>
    <row r="11" spans="1:14" ht="22.5" customHeight="1" x14ac:dyDescent="0.25">
      <c r="A11" s="27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28"/>
      <c r="B12" s="6" t="s">
        <v>18</v>
      </c>
      <c r="C12" s="3">
        <f>SUM(C5:C9,C11)</f>
        <v>71543288</v>
      </c>
      <c r="D12" s="3">
        <f t="shared" ref="D12:N12" si="0">SUM(D5:D9,D11)</f>
        <v>62672388</v>
      </c>
      <c r="E12" s="3">
        <f t="shared" si="0"/>
        <v>68570372</v>
      </c>
      <c r="F12" s="3">
        <f t="shared" si="0"/>
        <v>62936195</v>
      </c>
      <c r="G12" s="3">
        <f t="shared" si="0"/>
        <v>63230174</v>
      </c>
      <c r="H12" s="3">
        <f t="shared" si="0"/>
        <v>71124298</v>
      </c>
      <c r="I12" s="3">
        <f t="shared" si="0"/>
        <v>79702036</v>
      </c>
      <c r="J12" s="3">
        <f t="shared" si="0"/>
        <v>79926528</v>
      </c>
      <c r="K12" s="3">
        <f t="shared" si="0"/>
        <v>70438791</v>
      </c>
      <c r="L12" s="3">
        <f t="shared" si="0"/>
        <v>66393206</v>
      </c>
      <c r="M12" s="3">
        <f t="shared" si="0"/>
        <v>65391073</v>
      </c>
      <c r="N12" s="3">
        <f t="shared" si="0"/>
        <v>72784090</v>
      </c>
    </row>
    <row r="13" spans="1:14" ht="22.5" customHeight="1" x14ac:dyDescent="0.25">
      <c r="A13" s="24" t="s">
        <v>18</v>
      </c>
      <c r="B13" s="25"/>
      <c r="C13" s="10">
        <f>C12</f>
        <v>71543288</v>
      </c>
      <c r="D13" s="10">
        <f t="shared" ref="D13:N13" si="1">D12</f>
        <v>62672388</v>
      </c>
      <c r="E13" s="10">
        <f t="shared" si="1"/>
        <v>68570372</v>
      </c>
      <c r="F13" s="10">
        <f t="shared" si="1"/>
        <v>62936195</v>
      </c>
      <c r="G13" s="10">
        <f t="shared" si="1"/>
        <v>63230174</v>
      </c>
      <c r="H13" s="10">
        <f t="shared" si="1"/>
        <v>71124298</v>
      </c>
      <c r="I13" s="10">
        <f t="shared" si="1"/>
        <v>79702036</v>
      </c>
      <c r="J13" s="10">
        <f t="shared" si="1"/>
        <v>79926528</v>
      </c>
      <c r="K13" s="10">
        <f t="shared" si="1"/>
        <v>70438791</v>
      </c>
      <c r="L13" s="10">
        <f t="shared" si="1"/>
        <v>66393206</v>
      </c>
      <c r="M13" s="10">
        <f t="shared" si="1"/>
        <v>65391073</v>
      </c>
      <c r="N13" s="10">
        <f t="shared" si="1"/>
        <v>72784090</v>
      </c>
    </row>
  </sheetData>
  <mergeCells count="5">
    <mergeCell ref="A2:N2"/>
    <mergeCell ref="A4:A12"/>
    <mergeCell ref="B4:N4"/>
    <mergeCell ref="B10:N10"/>
    <mergeCell ref="A13:B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2:N13"/>
  <sheetViews>
    <sheetView topLeftCell="D1" workbookViewId="0">
      <selection activeCell="N12" sqref="N1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8" t="s">
        <v>28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6" t="s">
        <v>26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7"/>
      <c r="B5" s="5" t="s">
        <v>21</v>
      </c>
      <c r="C5" s="12">
        <f>36366439+306365</f>
        <v>36672804</v>
      </c>
      <c r="D5" s="12">
        <f>30820997+264293</f>
        <v>31085290</v>
      </c>
      <c r="E5" s="12">
        <f>34846428+285288</f>
        <v>35131716</v>
      </c>
      <c r="F5" s="12">
        <f>33433302+166874</f>
        <v>33600176</v>
      </c>
      <c r="G5" s="12">
        <f>33088120+112239</f>
        <v>33200359</v>
      </c>
      <c r="H5" s="12">
        <f>34526641+72892</f>
        <v>34599533</v>
      </c>
      <c r="I5" s="12"/>
      <c r="J5" s="12"/>
      <c r="K5" s="12"/>
      <c r="L5" s="12"/>
      <c r="M5" s="12"/>
      <c r="N5" s="12"/>
    </row>
    <row r="6" spans="1:14" ht="22.5" customHeight="1" x14ac:dyDescent="0.25">
      <c r="A6" s="27"/>
      <c r="B6" s="5" t="s">
        <v>14</v>
      </c>
      <c r="C6" s="3">
        <f>33757745+4613558</f>
        <v>38371303</v>
      </c>
      <c r="D6" s="3">
        <f>31218137+4343113</f>
        <v>35561250</v>
      </c>
      <c r="E6" s="3">
        <f>33441906+3823444</f>
        <v>37265350</v>
      </c>
      <c r="F6" s="3">
        <f>30786048+3053892</f>
        <v>33839940</v>
      </c>
      <c r="G6" s="3">
        <f>32068297+2368690</f>
        <v>34436987</v>
      </c>
      <c r="H6" s="3">
        <f>37660108+2684372</f>
        <v>40344480</v>
      </c>
      <c r="I6" s="3">
        <f>42800008+2982889</f>
        <v>45782897</v>
      </c>
      <c r="J6" s="3">
        <f>42138066+3030733</f>
        <v>45168799</v>
      </c>
      <c r="K6" s="3">
        <f>37019044+2363557</f>
        <v>39382601</v>
      </c>
      <c r="L6" s="3">
        <f>36025208+5497326</f>
        <v>41522534</v>
      </c>
      <c r="M6" s="3">
        <f>35795460+6820654</f>
        <v>42616114</v>
      </c>
      <c r="N6" s="3">
        <f>39992952+8996900</f>
        <v>48989852</v>
      </c>
    </row>
    <row r="7" spans="1:14" ht="22.5" customHeight="1" x14ac:dyDescent="0.25">
      <c r="A7" s="27"/>
      <c r="B7" s="5" t="s">
        <v>15</v>
      </c>
      <c r="C7" s="3">
        <v>213528</v>
      </c>
      <c r="D7" s="3">
        <v>217304</v>
      </c>
      <c r="E7" s="3">
        <f>217304+175752</f>
        <v>393056</v>
      </c>
      <c r="F7" s="3">
        <v>137849</v>
      </c>
      <c r="G7" s="3">
        <v>85892</v>
      </c>
      <c r="H7" s="3">
        <v>90562</v>
      </c>
      <c r="I7" s="3">
        <v>154492</v>
      </c>
      <c r="J7" s="3">
        <v>197245</v>
      </c>
      <c r="K7" s="3">
        <v>89339</v>
      </c>
      <c r="L7" s="3">
        <v>141710</v>
      </c>
      <c r="M7" s="3">
        <v>217765</v>
      </c>
      <c r="N7" s="3">
        <v>337050</v>
      </c>
    </row>
    <row r="8" spans="1:14" ht="22.5" customHeight="1" x14ac:dyDescent="0.25">
      <c r="A8" s="27"/>
      <c r="B8" s="5" t="s">
        <v>16</v>
      </c>
      <c r="C8" s="3">
        <v>834283</v>
      </c>
      <c r="D8" s="3">
        <v>403711</v>
      </c>
      <c r="E8" s="3">
        <f>403711+352663</f>
        <v>756374</v>
      </c>
      <c r="F8" s="3">
        <v>417854</v>
      </c>
      <c r="G8" s="3">
        <v>302276</v>
      </c>
      <c r="H8" s="3">
        <v>384925</v>
      </c>
      <c r="I8" s="3">
        <v>410657</v>
      </c>
      <c r="J8" s="3">
        <v>391933</v>
      </c>
      <c r="K8" s="3">
        <v>288659</v>
      </c>
      <c r="L8" s="3">
        <v>277554</v>
      </c>
      <c r="M8" s="3">
        <v>358163</v>
      </c>
      <c r="N8" s="3">
        <v>401514</v>
      </c>
    </row>
    <row r="9" spans="1:14" ht="22.5" customHeight="1" x14ac:dyDescent="0.25">
      <c r="A9" s="27"/>
      <c r="B9" s="5" t="s">
        <v>17</v>
      </c>
      <c r="C9" s="3">
        <v>12598</v>
      </c>
      <c r="D9" s="3">
        <v>11162</v>
      </c>
      <c r="E9" s="3">
        <f>11162+8571</f>
        <v>19733</v>
      </c>
      <c r="F9" s="3">
        <v>5948</v>
      </c>
      <c r="G9" s="3">
        <v>5009</v>
      </c>
      <c r="H9" s="3">
        <v>4234</v>
      </c>
      <c r="I9" s="3">
        <v>4824</v>
      </c>
      <c r="J9" s="3">
        <v>6631</v>
      </c>
      <c r="K9" s="3">
        <v>10018</v>
      </c>
      <c r="L9" s="3">
        <v>8239</v>
      </c>
      <c r="M9" s="3">
        <v>11202</v>
      </c>
      <c r="N9" s="3">
        <v>13438</v>
      </c>
    </row>
    <row r="10" spans="1:14" ht="22.5" customHeight="1" x14ac:dyDescent="0.25">
      <c r="A10" s="27"/>
      <c r="B10" s="21" t="s">
        <v>20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</row>
    <row r="11" spans="1:14" ht="22.5" customHeight="1" x14ac:dyDescent="0.25">
      <c r="A11" s="27"/>
      <c r="B11" s="4"/>
      <c r="C11" s="3">
        <v>11194</v>
      </c>
      <c r="D11" s="3">
        <v>11602</v>
      </c>
      <c r="E11" s="3">
        <f>11602+7553</f>
        <v>19155</v>
      </c>
      <c r="F11" s="3">
        <v>4433</v>
      </c>
      <c r="G11" s="3">
        <v>5195</v>
      </c>
      <c r="H11" s="3">
        <v>4517</v>
      </c>
      <c r="I11" s="3">
        <v>5364</v>
      </c>
      <c r="J11" s="3">
        <v>8122</v>
      </c>
      <c r="K11" s="3">
        <v>5950</v>
      </c>
      <c r="L11" s="3">
        <v>8015</v>
      </c>
      <c r="M11" s="3">
        <v>7479</v>
      </c>
      <c r="N11" s="3">
        <v>6855</v>
      </c>
    </row>
    <row r="12" spans="1:14" ht="22.5" customHeight="1" x14ac:dyDescent="0.25">
      <c r="A12" s="28"/>
      <c r="B12" s="6" t="s">
        <v>18</v>
      </c>
      <c r="C12" s="3">
        <f>SUM(C5:C9,C11)</f>
        <v>76115710</v>
      </c>
      <c r="D12" s="3">
        <f t="shared" ref="D12:N12" si="0">SUM(D5:D9,D11)</f>
        <v>67290319</v>
      </c>
      <c r="E12" s="3">
        <f t="shared" si="0"/>
        <v>73585384</v>
      </c>
      <c r="F12" s="3">
        <f t="shared" si="0"/>
        <v>68006200</v>
      </c>
      <c r="G12" s="3">
        <f t="shared" ref="G12" si="1">SUM(G5:G9,G11)</f>
        <v>68035718</v>
      </c>
      <c r="H12" s="3">
        <f t="shared" si="0"/>
        <v>75428251</v>
      </c>
      <c r="I12" s="3">
        <f t="shared" ref="I12:J12" si="2">SUM(I5:I9,I11)</f>
        <v>46358234</v>
      </c>
      <c r="J12" s="3">
        <f t="shared" si="2"/>
        <v>45772730</v>
      </c>
      <c r="K12" s="3">
        <f t="shared" ref="K12" si="3">SUM(K5:K9,K11)</f>
        <v>39776567</v>
      </c>
      <c r="L12" s="3">
        <f t="shared" si="0"/>
        <v>41958052</v>
      </c>
      <c r="M12" s="3">
        <f t="shared" si="0"/>
        <v>43210723</v>
      </c>
      <c r="N12" s="3">
        <f t="shared" si="0"/>
        <v>49748709</v>
      </c>
    </row>
    <row r="13" spans="1:14" ht="22.5" customHeight="1" x14ac:dyDescent="0.25">
      <c r="A13" s="24" t="s">
        <v>18</v>
      </c>
      <c r="B13" s="25"/>
      <c r="C13" s="10">
        <f>C12</f>
        <v>76115710</v>
      </c>
      <c r="D13" s="10">
        <f t="shared" ref="D13:N13" si="4">D12</f>
        <v>67290319</v>
      </c>
      <c r="E13" s="10">
        <f t="shared" si="4"/>
        <v>73585384</v>
      </c>
      <c r="F13" s="10">
        <f t="shared" si="4"/>
        <v>68006200</v>
      </c>
      <c r="G13" s="10">
        <f t="shared" ref="G13" si="5">G12</f>
        <v>68035718</v>
      </c>
      <c r="H13" s="10">
        <f t="shared" si="4"/>
        <v>75428251</v>
      </c>
      <c r="I13" s="10">
        <f t="shared" ref="I13:J13" si="6">I12</f>
        <v>46358234</v>
      </c>
      <c r="J13" s="10">
        <f t="shared" si="6"/>
        <v>45772730</v>
      </c>
      <c r="K13" s="10">
        <f t="shared" si="4"/>
        <v>39776567</v>
      </c>
      <c r="L13" s="10">
        <f t="shared" si="4"/>
        <v>41958052</v>
      </c>
      <c r="M13" s="10">
        <f t="shared" si="4"/>
        <v>43210723</v>
      </c>
      <c r="N13" s="10">
        <f t="shared" si="4"/>
        <v>49748709</v>
      </c>
    </row>
  </sheetData>
  <mergeCells count="5">
    <mergeCell ref="A2:N2"/>
    <mergeCell ref="A4:A12"/>
    <mergeCell ref="B4:N4"/>
    <mergeCell ref="B10:N10"/>
    <mergeCell ref="A13:B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2:N12"/>
  <sheetViews>
    <sheetView zoomScale="85" zoomScaleNormal="85" workbookViewId="0">
      <selection activeCell="N11" sqref="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8" t="s">
        <v>29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6" t="s">
        <v>26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7"/>
      <c r="B5" s="5" t="s">
        <v>14</v>
      </c>
      <c r="C5" s="3">
        <f>43025672+9531605</f>
        <v>52557277</v>
      </c>
      <c r="D5" s="3">
        <f>38548430+9520750</f>
        <v>48069180</v>
      </c>
      <c r="E5" s="3">
        <f>47832186+5169826</f>
        <v>53002012</v>
      </c>
      <c r="F5" s="3">
        <f>38020663+2726180</f>
        <v>40746843</v>
      </c>
      <c r="G5" s="3">
        <f>41716070+2526342</f>
        <v>44242412</v>
      </c>
      <c r="H5" s="3">
        <f>44944683+2814174</f>
        <v>47758857</v>
      </c>
      <c r="I5" s="3">
        <f>48134069+3125554</f>
        <v>51259623</v>
      </c>
      <c r="J5" s="3">
        <f>51333341+2705605</f>
        <v>54038946</v>
      </c>
      <c r="K5" s="3">
        <f>48588085+2399037</f>
        <v>50987122</v>
      </c>
      <c r="L5" s="3">
        <f>42734065+3090662</f>
        <v>45824727</v>
      </c>
      <c r="M5" s="3">
        <f>45202611+4598759</f>
        <v>49801370</v>
      </c>
      <c r="N5" s="3">
        <f>55208555+4907980</f>
        <v>60116535</v>
      </c>
    </row>
    <row r="6" spans="1:14" ht="22.5" customHeight="1" x14ac:dyDescent="0.25">
      <c r="A6" s="27"/>
      <c r="B6" s="5" t="s">
        <v>15</v>
      </c>
      <c r="C6" s="3">
        <v>288097</v>
      </c>
      <c r="D6" s="3">
        <v>211430</v>
      </c>
      <c r="E6" s="3">
        <v>220249</v>
      </c>
      <c r="F6" s="3">
        <v>301976</v>
      </c>
      <c r="G6" s="3">
        <v>74325</v>
      </c>
      <c r="H6" s="3">
        <v>130449</v>
      </c>
      <c r="I6" s="3">
        <v>134798</v>
      </c>
      <c r="J6" s="3">
        <v>138666</v>
      </c>
      <c r="K6" s="3">
        <v>103069</v>
      </c>
      <c r="L6" s="3">
        <v>177950</v>
      </c>
      <c r="M6" s="3">
        <v>238513</v>
      </c>
      <c r="N6" s="3">
        <v>272343</v>
      </c>
    </row>
    <row r="7" spans="1:14" ht="22.5" customHeight="1" x14ac:dyDescent="0.25">
      <c r="A7" s="27"/>
      <c r="B7" s="5" t="s">
        <v>16</v>
      </c>
      <c r="C7" s="3">
        <v>726650</v>
      </c>
      <c r="D7" s="3">
        <v>924158</v>
      </c>
      <c r="E7" s="3">
        <v>255951</v>
      </c>
      <c r="F7" s="3">
        <v>186272</v>
      </c>
      <c r="G7" s="3">
        <v>494132</v>
      </c>
      <c r="H7" s="3">
        <v>625682</v>
      </c>
      <c r="I7" s="3">
        <v>665940</v>
      </c>
      <c r="J7" s="3">
        <v>644396</v>
      </c>
      <c r="K7" s="3">
        <v>528689</v>
      </c>
      <c r="L7" s="3">
        <v>564624</v>
      </c>
      <c r="M7" s="3">
        <v>758603</v>
      </c>
      <c r="N7" s="3">
        <v>846790</v>
      </c>
    </row>
    <row r="8" spans="1:14" ht="22.5" customHeight="1" x14ac:dyDescent="0.25">
      <c r="A8" s="27"/>
      <c r="B8" s="5" t="s">
        <v>17</v>
      </c>
      <c r="C8" s="3">
        <v>16147</v>
      </c>
      <c r="D8" s="3">
        <v>14043</v>
      </c>
      <c r="E8" s="3">
        <v>9076</v>
      </c>
      <c r="F8" s="3">
        <v>6195</v>
      </c>
      <c r="G8" s="3">
        <v>5105</v>
      </c>
      <c r="H8" s="3">
        <v>4710</v>
      </c>
      <c r="I8" s="3">
        <v>5242</v>
      </c>
      <c r="J8" s="3">
        <v>4082</v>
      </c>
      <c r="K8" s="3">
        <v>6430</v>
      </c>
      <c r="L8" s="3">
        <v>6373</v>
      </c>
      <c r="M8" s="3">
        <v>8715</v>
      </c>
      <c r="N8" s="3">
        <v>7899</v>
      </c>
    </row>
    <row r="9" spans="1:14" ht="22.5" customHeight="1" x14ac:dyDescent="0.25">
      <c r="A9" s="27"/>
      <c r="B9" s="21" t="s">
        <v>20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4" ht="22.5" customHeight="1" x14ac:dyDescent="0.25">
      <c r="A10" s="27"/>
      <c r="B10" s="4"/>
      <c r="C10" s="3">
        <v>7449</v>
      </c>
      <c r="D10" s="3">
        <v>7312</v>
      </c>
      <c r="E10" s="3">
        <v>24243</v>
      </c>
      <c r="F10" s="3">
        <v>17412</v>
      </c>
      <c r="G10" s="3">
        <v>5137</v>
      </c>
      <c r="H10" s="3">
        <v>5242</v>
      </c>
      <c r="I10" s="3">
        <v>8017</v>
      </c>
      <c r="J10" s="3">
        <v>7513</v>
      </c>
      <c r="K10" s="3">
        <v>5705</v>
      </c>
      <c r="L10" s="3">
        <v>7614</v>
      </c>
      <c r="M10" s="3">
        <v>6968</v>
      </c>
      <c r="N10" s="3">
        <v>8349</v>
      </c>
    </row>
    <row r="11" spans="1:14" ht="22.5" customHeight="1" x14ac:dyDescent="0.25">
      <c r="A11" s="28"/>
      <c r="B11" s="6" t="s">
        <v>18</v>
      </c>
      <c r="C11" s="3">
        <f t="shared" ref="C11:N11" si="0">SUM(C5:C8,C10)</f>
        <v>53595620</v>
      </c>
      <c r="D11" s="3">
        <f t="shared" si="0"/>
        <v>49226123</v>
      </c>
      <c r="E11" s="3">
        <f t="shared" si="0"/>
        <v>53511531</v>
      </c>
      <c r="F11" s="3">
        <f t="shared" si="0"/>
        <v>41258698</v>
      </c>
      <c r="G11" s="3">
        <f t="shared" si="0"/>
        <v>44821111</v>
      </c>
      <c r="H11" s="3">
        <f t="shared" si="0"/>
        <v>48524940</v>
      </c>
      <c r="I11" s="3">
        <f t="shared" si="0"/>
        <v>52073620</v>
      </c>
      <c r="J11" s="3">
        <f t="shared" si="0"/>
        <v>54833603</v>
      </c>
      <c r="K11" s="3">
        <f t="shared" si="0"/>
        <v>51631015</v>
      </c>
      <c r="L11" s="3">
        <f t="shared" si="0"/>
        <v>46581288</v>
      </c>
      <c r="M11" s="3">
        <f t="shared" si="0"/>
        <v>50814169</v>
      </c>
      <c r="N11" s="3">
        <f t="shared" si="0"/>
        <v>61251916</v>
      </c>
    </row>
    <row r="12" spans="1:14" ht="22.5" customHeight="1" x14ac:dyDescent="0.25">
      <c r="A12" s="24" t="s">
        <v>18</v>
      </c>
      <c r="B12" s="25"/>
      <c r="C12" s="10">
        <f>C11</f>
        <v>53595620</v>
      </c>
      <c r="D12" s="10">
        <f t="shared" ref="D12:N12" si="1">D11</f>
        <v>49226123</v>
      </c>
      <c r="E12" s="10">
        <f t="shared" si="1"/>
        <v>53511531</v>
      </c>
      <c r="F12" s="10">
        <f t="shared" si="1"/>
        <v>41258698</v>
      </c>
      <c r="G12" s="10">
        <f t="shared" si="1"/>
        <v>44821111</v>
      </c>
      <c r="H12" s="10">
        <f t="shared" si="1"/>
        <v>48524940</v>
      </c>
      <c r="I12" s="10">
        <f t="shared" si="1"/>
        <v>52073620</v>
      </c>
      <c r="J12" s="10">
        <f t="shared" si="1"/>
        <v>54833603</v>
      </c>
      <c r="K12" s="10">
        <f t="shared" si="1"/>
        <v>51631015</v>
      </c>
      <c r="L12" s="10">
        <f t="shared" si="1"/>
        <v>46581288</v>
      </c>
      <c r="M12" s="10">
        <f t="shared" si="1"/>
        <v>50814169</v>
      </c>
      <c r="N12" s="10">
        <f t="shared" si="1"/>
        <v>61251916</v>
      </c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2:Q12"/>
  <sheetViews>
    <sheetView zoomScale="70" zoomScaleNormal="70" workbookViewId="0">
      <selection activeCell="N11" sqref="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0.140625" style="1" customWidth="1"/>
    <col min="15" max="15" width="9.140625" style="14" customWidth="1"/>
    <col min="16" max="16" width="9.140625" style="1"/>
    <col min="17" max="17" width="11.5703125" style="14" bestFit="1" customWidth="1"/>
    <col min="18" max="16384" width="9.140625" style="1"/>
  </cols>
  <sheetData>
    <row r="2" spans="1:17" ht="42.75" customHeight="1" x14ac:dyDescent="0.25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7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15"/>
      <c r="Q3" s="15"/>
    </row>
    <row r="4" spans="1:17" ht="22.5" customHeight="1" x14ac:dyDescent="0.25">
      <c r="A4" s="26" t="s">
        <v>26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7" ht="22.5" customHeight="1" x14ac:dyDescent="0.25">
      <c r="A5" s="27"/>
      <c r="B5" s="5" t="s">
        <v>14</v>
      </c>
      <c r="C5" s="3">
        <f>53563873+4810046</f>
        <v>58373919</v>
      </c>
      <c r="D5" s="3">
        <f>46998615+3895223</f>
        <v>50893838</v>
      </c>
      <c r="E5" s="3">
        <f>51742695+3901893</f>
        <v>55644588</v>
      </c>
      <c r="F5" s="3">
        <f>44043788+2707393</f>
        <v>46751181</v>
      </c>
      <c r="G5" s="3">
        <f>44490848+2656961</f>
        <v>47147809</v>
      </c>
      <c r="H5" s="3">
        <f>42470779+2759062</f>
        <v>45229841</v>
      </c>
      <c r="I5" s="3">
        <f>48520534+2734982</f>
        <v>51255516</v>
      </c>
      <c r="J5" s="3">
        <f>52020957+2716673</f>
        <v>54737630</v>
      </c>
      <c r="K5" s="3">
        <f>44960587+2355222</f>
        <v>47315809</v>
      </c>
      <c r="L5" s="3">
        <f>41932390+2512308</f>
        <v>44444698</v>
      </c>
      <c r="M5" s="3">
        <f>47573742+3806205</f>
        <v>51379947</v>
      </c>
      <c r="N5" s="3">
        <f>54227031+4372016</f>
        <v>58599047</v>
      </c>
      <c r="O5" s="14">
        <f>N5/M5</f>
        <v>1.1405042321277599</v>
      </c>
      <c r="Q5" s="13">
        <f>AVERAGE(C5:N5)</f>
        <v>50981151.916666664</v>
      </c>
    </row>
    <row r="6" spans="1:17" ht="22.5" customHeight="1" x14ac:dyDescent="0.25">
      <c r="A6" s="27"/>
      <c r="B6" s="5" t="s">
        <v>15</v>
      </c>
      <c r="C6" s="3">
        <v>307018</v>
      </c>
      <c r="D6" s="3">
        <v>190024</v>
      </c>
      <c r="E6" s="3">
        <v>220453</v>
      </c>
      <c r="F6" s="3">
        <v>139302</v>
      </c>
      <c r="G6" s="3">
        <v>114156</v>
      </c>
      <c r="H6" s="3">
        <v>148556</v>
      </c>
      <c r="I6" s="3">
        <v>118563</v>
      </c>
      <c r="J6" s="3">
        <v>134228</v>
      </c>
      <c r="K6" s="3">
        <v>139809</v>
      </c>
      <c r="L6" s="3">
        <v>195336</v>
      </c>
      <c r="M6" s="3">
        <v>159915</v>
      </c>
      <c r="N6" s="3">
        <v>220563</v>
      </c>
      <c r="O6" s="14">
        <f t="shared" ref="O6:O8" si="0">N6/M6</f>
        <v>1.3792514773473408</v>
      </c>
      <c r="Q6" s="13">
        <f t="shared" ref="Q6:Q10" si="1">AVERAGE(C6:N6)</f>
        <v>173993.58333333334</v>
      </c>
    </row>
    <row r="7" spans="1:17" ht="22.5" customHeight="1" x14ac:dyDescent="0.25">
      <c r="A7" s="27"/>
      <c r="B7" s="5" t="s">
        <v>16</v>
      </c>
      <c r="C7" s="3">
        <v>1097386</v>
      </c>
      <c r="D7" s="3">
        <v>707838</v>
      </c>
      <c r="E7" s="3">
        <v>693946</v>
      </c>
      <c r="F7" s="3">
        <v>454998</v>
      </c>
      <c r="G7" s="3">
        <v>420942</v>
      </c>
      <c r="H7" s="3">
        <v>799642</v>
      </c>
      <c r="I7" s="3">
        <v>451288</v>
      </c>
      <c r="J7" s="3">
        <v>540771</v>
      </c>
      <c r="K7" s="3">
        <v>446515</v>
      </c>
      <c r="L7" s="3">
        <v>758160</v>
      </c>
      <c r="M7" s="3">
        <v>850589</v>
      </c>
      <c r="N7" s="3">
        <v>696586</v>
      </c>
      <c r="O7" s="14">
        <f t="shared" si="0"/>
        <v>0.8189454601458519</v>
      </c>
      <c r="Q7" s="13">
        <f t="shared" si="1"/>
        <v>659888.41666666663</v>
      </c>
    </row>
    <row r="8" spans="1:17" ht="22.5" customHeight="1" x14ac:dyDescent="0.25">
      <c r="A8" s="27"/>
      <c r="B8" s="5" t="s">
        <v>17</v>
      </c>
      <c r="C8" s="3">
        <v>7415</v>
      </c>
      <c r="D8" s="3">
        <v>9677</v>
      </c>
      <c r="E8" s="3">
        <v>10476</v>
      </c>
      <c r="F8" s="3">
        <v>9618</v>
      </c>
      <c r="G8" s="3">
        <v>6480</v>
      </c>
      <c r="H8" s="3">
        <v>3538</v>
      </c>
      <c r="I8" s="3">
        <v>4448</v>
      </c>
      <c r="J8" s="3">
        <v>4972</v>
      </c>
      <c r="K8" s="3">
        <v>3789</v>
      </c>
      <c r="L8" s="3">
        <v>5371</v>
      </c>
      <c r="M8" s="3">
        <v>5563</v>
      </c>
      <c r="N8" s="3">
        <v>6032</v>
      </c>
      <c r="O8" s="14">
        <f t="shared" si="0"/>
        <v>1.0843070285817005</v>
      </c>
      <c r="Q8" s="13">
        <f t="shared" si="1"/>
        <v>6448.25</v>
      </c>
    </row>
    <row r="9" spans="1:17" ht="22.5" customHeight="1" x14ac:dyDescent="0.25">
      <c r="A9" s="27"/>
      <c r="B9" s="21" t="s">
        <v>20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Q9" s="13"/>
    </row>
    <row r="10" spans="1:17" ht="22.5" customHeight="1" x14ac:dyDescent="0.25">
      <c r="A10" s="27"/>
      <c r="B10" s="4"/>
      <c r="C10" s="3">
        <v>8248</v>
      </c>
      <c r="D10" s="3">
        <v>8186</v>
      </c>
      <c r="E10" s="3">
        <v>6752</v>
      </c>
      <c r="F10" s="3">
        <v>5652</v>
      </c>
      <c r="G10" s="3">
        <v>5820</v>
      </c>
      <c r="H10" s="3">
        <v>5870</v>
      </c>
      <c r="I10" s="3">
        <v>5288</v>
      </c>
      <c r="J10" s="3">
        <v>5613</v>
      </c>
      <c r="K10" s="3">
        <v>5601</v>
      </c>
      <c r="L10" s="3">
        <v>6691</v>
      </c>
      <c r="M10" s="3">
        <v>6520</v>
      </c>
      <c r="N10" s="3">
        <v>7381</v>
      </c>
      <c r="O10" s="14">
        <f>N10/M10</f>
        <v>1.1320552147239265</v>
      </c>
      <c r="Q10" s="13">
        <f t="shared" si="1"/>
        <v>6468.5</v>
      </c>
    </row>
    <row r="11" spans="1:17" ht="22.5" customHeight="1" x14ac:dyDescent="0.25">
      <c r="A11" s="28"/>
      <c r="B11" s="6" t="s">
        <v>18</v>
      </c>
      <c r="C11" s="10">
        <f t="shared" ref="C11:N11" si="2">SUM(C5:C8,C10)</f>
        <v>59793986</v>
      </c>
      <c r="D11" s="10">
        <f t="shared" si="2"/>
        <v>51809563</v>
      </c>
      <c r="E11" s="10">
        <f t="shared" si="2"/>
        <v>56576215</v>
      </c>
      <c r="F11" s="10">
        <f t="shared" si="2"/>
        <v>47360751</v>
      </c>
      <c r="G11" s="10">
        <f t="shared" si="2"/>
        <v>47695207</v>
      </c>
      <c r="H11" s="10">
        <f t="shared" si="2"/>
        <v>46187447</v>
      </c>
      <c r="I11" s="10">
        <f t="shared" si="2"/>
        <v>51835103</v>
      </c>
      <c r="J11" s="10">
        <f t="shared" si="2"/>
        <v>55423214</v>
      </c>
      <c r="K11" s="10">
        <f t="shared" si="2"/>
        <v>47911523</v>
      </c>
      <c r="L11" s="10">
        <f t="shared" si="2"/>
        <v>45410256</v>
      </c>
      <c r="M11" s="10">
        <f t="shared" si="2"/>
        <v>52402534</v>
      </c>
      <c r="N11" s="10">
        <f t="shared" si="2"/>
        <v>59529609</v>
      </c>
    </row>
    <row r="12" spans="1:17" ht="22.5" customHeight="1" x14ac:dyDescent="0.25">
      <c r="A12" s="24" t="s">
        <v>18</v>
      </c>
      <c r="B12" s="25"/>
      <c r="C12" s="10">
        <f>C11</f>
        <v>59793986</v>
      </c>
      <c r="D12" s="10">
        <f t="shared" ref="D12:N12" si="3">D11</f>
        <v>51809563</v>
      </c>
      <c r="E12" s="10">
        <f t="shared" si="3"/>
        <v>56576215</v>
      </c>
      <c r="F12" s="10">
        <f t="shared" si="3"/>
        <v>47360751</v>
      </c>
      <c r="G12" s="10">
        <f t="shared" si="3"/>
        <v>47695207</v>
      </c>
      <c r="H12" s="10">
        <f t="shared" si="3"/>
        <v>46187447</v>
      </c>
      <c r="I12" s="10">
        <f t="shared" si="3"/>
        <v>51835103</v>
      </c>
      <c r="J12" s="10">
        <f t="shared" si="3"/>
        <v>55423214</v>
      </c>
      <c r="K12" s="10">
        <f t="shared" si="3"/>
        <v>47911523</v>
      </c>
      <c r="L12" s="10">
        <f t="shared" si="3"/>
        <v>45410256</v>
      </c>
      <c r="M12" s="10">
        <f t="shared" si="3"/>
        <v>52402534</v>
      </c>
      <c r="N12" s="10">
        <f t="shared" si="3"/>
        <v>59529609</v>
      </c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W12"/>
  <sheetViews>
    <sheetView zoomScale="75" zoomScaleNormal="75" workbookViewId="0">
      <selection activeCell="W10" sqref="W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6" width="20.140625" style="1" customWidth="1"/>
    <col min="7" max="7" width="20.140625" style="1" hidden="1" customWidth="1"/>
    <col min="8" max="8" width="20.140625" style="1" customWidth="1"/>
    <col min="9" max="9" width="20.140625" style="1" hidden="1" customWidth="1"/>
    <col min="10" max="10" width="20.140625" style="1" customWidth="1"/>
    <col min="11" max="11" width="20.140625" style="1" hidden="1" customWidth="1"/>
    <col min="12" max="12" width="20.140625" style="1" customWidth="1"/>
    <col min="13" max="13" width="20.140625" style="1" hidden="1" customWidth="1"/>
    <col min="14" max="14" width="20.140625" style="1" customWidth="1"/>
    <col min="15" max="15" width="20.140625" style="1" hidden="1" customWidth="1"/>
    <col min="16" max="16" width="20.140625" style="1" customWidth="1"/>
    <col min="17" max="17" width="20.140625" style="1" hidden="1" customWidth="1"/>
    <col min="18" max="18" width="20.140625" style="1" customWidth="1"/>
    <col min="19" max="19" width="20.140625" style="1" hidden="1" customWidth="1"/>
    <col min="20" max="20" width="20.140625" style="1" customWidth="1"/>
    <col min="21" max="21" width="20.140625" style="1" hidden="1" customWidth="1"/>
    <col min="22" max="22" width="20.140625" style="1" customWidth="1"/>
    <col min="23" max="23" width="12.7109375" style="14" bestFit="1" customWidth="1"/>
    <col min="24" max="16384" width="9.140625" style="1"/>
  </cols>
  <sheetData>
    <row r="2" spans="1:23" ht="42.75" customHeight="1" x14ac:dyDescent="0.25">
      <c r="A2" s="18" t="s">
        <v>31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3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/>
      <c r="H3" s="9" t="s">
        <v>6</v>
      </c>
      <c r="I3" s="9"/>
      <c r="J3" s="9" t="s">
        <v>7</v>
      </c>
      <c r="K3" s="9"/>
      <c r="L3" s="9" t="s">
        <v>8</v>
      </c>
      <c r="M3" s="9"/>
      <c r="N3" s="9" t="s">
        <v>9</v>
      </c>
      <c r="O3" s="9"/>
      <c r="P3" s="9" t="s">
        <v>10</v>
      </c>
      <c r="Q3" s="9"/>
      <c r="R3" s="9" t="s">
        <v>11</v>
      </c>
      <c r="S3" s="9"/>
      <c r="T3" s="9" t="s">
        <v>12</v>
      </c>
      <c r="U3" s="9"/>
      <c r="V3" s="9" t="s">
        <v>13</v>
      </c>
      <c r="W3" s="15"/>
    </row>
    <row r="4" spans="1:23" ht="22.5" customHeight="1" x14ac:dyDescent="0.25">
      <c r="A4" s="26" t="s">
        <v>32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3"/>
    </row>
    <row r="5" spans="1:23" ht="22.5" customHeight="1" x14ac:dyDescent="0.25">
      <c r="A5" s="27"/>
      <c r="B5" s="5" t="s">
        <v>14</v>
      </c>
      <c r="C5" s="3">
        <f>53382479+4358777</f>
        <v>57741256</v>
      </c>
      <c r="D5" s="3">
        <f>47409085+3845055</f>
        <v>51254140</v>
      </c>
      <c r="E5" s="3">
        <f>46907544+3545067</f>
        <v>50452611</v>
      </c>
      <c r="F5" s="3">
        <f>41008876+2929398</f>
        <v>43938274</v>
      </c>
      <c r="G5" s="3">
        <v>1.0084838070721678</v>
      </c>
      <c r="H5" s="3">
        <f>41729057+2310354</f>
        <v>44039411</v>
      </c>
      <c r="I5" s="3">
        <v>0.95932010329472572</v>
      </c>
      <c r="J5" s="3">
        <f>39157275+2537443</f>
        <v>41694718</v>
      </c>
      <c r="K5" s="3">
        <v>1.1332234398082452</v>
      </c>
      <c r="L5" s="3">
        <f>41194785+2921630</f>
        <v>44116415</v>
      </c>
      <c r="M5" s="3">
        <v>1.0679363758624536</v>
      </c>
      <c r="N5" s="3">
        <f>47298851+2651615</f>
        <v>49950466</v>
      </c>
      <c r="O5" s="3">
        <v>0.86441099112256048</v>
      </c>
      <c r="P5" s="3">
        <v>51173165</v>
      </c>
      <c r="Q5" s="3">
        <v>0.93932025974658917</v>
      </c>
      <c r="R5" s="3">
        <f>50352112+2938659</f>
        <v>53290771</v>
      </c>
      <c r="S5" s="3">
        <v>1.1560422122791789</v>
      </c>
      <c r="T5" s="3">
        <f>50439612+3808026</f>
        <v>54247638</v>
      </c>
      <c r="U5" s="3">
        <v>1.1405042321277599</v>
      </c>
      <c r="V5" s="3">
        <f>58057431+5200492</f>
        <v>63257923</v>
      </c>
      <c r="W5" s="14">
        <f>'2021'!C5/'2020'!V5</f>
        <v>0.94492519142621867</v>
      </c>
    </row>
    <row r="6" spans="1:23" ht="22.5" customHeight="1" x14ac:dyDescent="0.25">
      <c r="A6" s="27"/>
      <c r="B6" s="5" t="s">
        <v>15</v>
      </c>
      <c r="C6" s="3">
        <v>219294</v>
      </c>
      <c r="D6" s="3">
        <v>224422</v>
      </c>
      <c r="E6" s="3">
        <v>190702</v>
      </c>
      <c r="F6" s="3">
        <f>133002+97963</f>
        <v>230965</v>
      </c>
      <c r="G6" s="3">
        <v>0.81948572166946632</v>
      </c>
      <c r="H6" s="3">
        <f>99300+69670</f>
        <v>168970</v>
      </c>
      <c r="I6" s="1">
        <f>H6/F6</f>
        <v>0.73158270733660946</v>
      </c>
      <c r="J6" s="3">
        <v>60714</v>
      </c>
      <c r="K6" s="3">
        <v>0.79810307224211741</v>
      </c>
      <c r="L6" s="3">
        <v>63912</v>
      </c>
      <c r="M6" s="3">
        <v>1.132123849767634</v>
      </c>
      <c r="N6" s="3">
        <v>95230</v>
      </c>
      <c r="O6" s="3">
        <v>1.0415785082099116</v>
      </c>
      <c r="P6" s="3">
        <v>85059</v>
      </c>
      <c r="Q6" s="3">
        <v>1.3971632727506813</v>
      </c>
      <c r="R6" s="3">
        <v>132630</v>
      </c>
      <c r="S6" s="3">
        <v>0.8186662980710161</v>
      </c>
      <c r="T6" s="3">
        <v>172546</v>
      </c>
      <c r="U6" s="3">
        <v>1.3792514773473408</v>
      </c>
      <c r="V6" s="3">
        <v>232200</v>
      </c>
      <c r="W6" s="14">
        <f>'2021'!C6/'2020'!V6</f>
        <v>0.96980620155038755</v>
      </c>
    </row>
    <row r="7" spans="1:23" ht="22.5" customHeight="1" x14ac:dyDescent="0.25">
      <c r="A7" s="27"/>
      <c r="B7" s="5" t="s">
        <v>16</v>
      </c>
      <c r="C7" s="3">
        <f>110000+897986</f>
        <v>1007986</v>
      </c>
      <c r="D7" s="3">
        <f>117000+725047</f>
        <v>842047</v>
      </c>
      <c r="E7" s="3">
        <f>123500+585231</f>
        <v>708731</v>
      </c>
      <c r="F7" s="3">
        <v>251504</v>
      </c>
      <c r="G7" s="3">
        <v>0.92515131934645867</v>
      </c>
      <c r="H7" s="3">
        <v>206528</v>
      </c>
      <c r="I7" s="3">
        <f>H7/F7</f>
        <v>0.82117183026910112</v>
      </c>
      <c r="J7" s="3">
        <f>121500+593254</f>
        <v>714754</v>
      </c>
      <c r="K7" s="3">
        <v>0.56436255224212839</v>
      </c>
      <c r="L7" s="3">
        <f>92000+665913</f>
        <v>757913</v>
      </c>
      <c r="M7" s="3">
        <v>1.1982835794437254</v>
      </c>
      <c r="N7" s="3">
        <f>117000+580885</f>
        <v>697885</v>
      </c>
      <c r="O7" s="3">
        <v>0.82570071250122512</v>
      </c>
      <c r="P7" s="3">
        <v>640568</v>
      </c>
      <c r="Q7" s="3">
        <v>1.697949676942544</v>
      </c>
      <c r="R7" s="3">
        <f>102000+526150</f>
        <v>628150</v>
      </c>
      <c r="S7" s="3">
        <v>1.121912261264113</v>
      </c>
      <c r="T7" s="3">
        <f>141000+667327</f>
        <v>808327</v>
      </c>
      <c r="U7" s="3">
        <v>0.8189454601458519</v>
      </c>
      <c r="V7" s="3">
        <f>143000+795286</f>
        <v>938286</v>
      </c>
      <c r="W7" s="14">
        <f>'2021'!C7/'2020'!V7</f>
        <v>1.3295402467904243</v>
      </c>
    </row>
    <row r="8" spans="1:23" ht="22.5" customHeight="1" x14ac:dyDescent="0.25">
      <c r="A8" s="27"/>
      <c r="B8" s="5" t="s">
        <v>17</v>
      </c>
      <c r="C8" s="3">
        <v>6137</v>
      </c>
      <c r="D8" s="3">
        <v>4441</v>
      </c>
      <c r="E8" s="3">
        <v>4509</v>
      </c>
      <c r="F8" s="3">
        <v>3476</v>
      </c>
      <c r="G8" s="3">
        <v>0.67373674360573921</v>
      </c>
      <c r="H8" s="3">
        <v>3358</v>
      </c>
      <c r="I8" s="3">
        <v>0.54598765432098761</v>
      </c>
      <c r="J8" s="3">
        <v>1945</v>
      </c>
      <c r="K8" s="3">
        <v>1.257207461842849</v>
      </c>
      <c r="L8" s="3">
        <v>1597</v>
      </c>
      <c r="M8" s="3">
        <v>1.1178057553956835</v>
      </c>
      <c r="N8" s="3">
        <v>1986</v>
      </c>
      <c r="O8" s="3">
        <v>0.76206757843925987</v>
      </c>
      <c r="P8" s="3">
        <v>2152</v>
      </c>
      <c r="Q8" s="3">
        <v>1.4175244127738189</v>
      </c>
      <c r="R8" s="3">
        <v>2315</v>
      </c>
      <c r="S8" s="3">
        <v>1.0357475330478496</v>
      </c>
      <c r="T8" s="3">
        <v>3327</v>
      </c>
      <c r="U8" s="3">
        <v>1.0843070285817005</v>
      </c>
      <c r="V8" s="3">
        <v>3998</v>
      </c>
      <c r="W8" s="14">
        <f>'2021'!C8/'2020'!V8</f>
        <v>0.98349174587293642</v>
      </c>
    </row>
    <row r="9" spans="1:23" ht="22.5" customHeight="1" x14ac:dyDescent="0.25">
      <c r="A9" s="27"/>
      <c r="B9" s="21" t="s">
        <v>20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3"/>
    </row>
    <row r="10" spans="1:23" ht="22.5" customHeight="1" x14ac:dyDescent="0.25">
      <c r="A10" s="27"/>
      <c r="B10" s="4"/>
      <c r="C10" s="3">
        <v>7937</v>
      </c>
      <c r="D10" s="3">
        <v>8599</v>
      </c>
      <c r="E10" s="3">
        <v>7098</v>
      </c>
      <c r="F10" s="3">
        <v>6721</v>
      </c>
      <c r="G10" s="3">
        <v>1.029723991507431</v>
      </c>
      <c r="H10" s="3">
        <v>6171</v>
      </c>
      <c r="I10" s="3">
        <f>H10/F10</f>
        <v>0.91816693944353522</v>
      </c>
      <c r="J10" s="3">
        <v>5633</v>
      </c>
      <c r="K10" s="3">
        <v>0.90085178875638838</v>
      </c>
      <c r="L10" s="3">
        <v>7320</v>
      </c>
      <c r="M10" s="3">
        <v>1.0614599092284418</v>
      </c>
      <c r="N10" s="3">
        <v>13502</v>
      </c>
      <c r="O10" s="3">
        <v>0.99786210582576162</v>
      </c>
      <c r="P10" s="3">
        <v>8609</v>
      </c>
      <c r="Q10" s="3">
        <v>1.1946081056954114</v>
      </c>
      <c r="R10" s="3">
        <v>7017</v>
      </c>
      <c r="S10" s="3">
        <v>0.97444328202062469</v>
      </c>
      <c r="T10" s="3">
        <v>7517</v>
      </c>
      <c r="U10" s="3">
        <v>1.1320552147239265</v>
      </c>
      <c r="V10" s="3">
        <v>8959</v>
      </c>
      <c r="W10" s="14">
        <f>'2021'!C10/'2020'!V10</f>
        <v>0.92041522491349481</v>
      </c>
    </row>
    <row r="11" spans="1:23" ht="22.5" customHeight="1" x14ac:dyDescent="0.25">
      <c r="A11" s="28"/>
      <c r="B11" s="6" t="s">
        <v>18</v>
      </c>
      <c r="C11" s="10">
        <f t="shared" ref="C11:V11" si="0">SUM(C5:C8,C10)</f>
        <v>58982610</v>
      </c>
      <c r="D11" s="10">
        <f t="shared" si="0"/>
        <v>52333649</v>
      </c>
      <c r="E11" s="10">
        <f t="shared" si="0"/>
        <v>51363651</v>
      </c>
      <c r="F11" s="10">
        <f t="shared" si="0"/>
        <v>44430940</v>
      </c>
      <c r="G11" s="10"/>
      <c r="H11" s="10">
        <f t="shared" si="0"/>
        <v>44424438</v>
      </c>
      <c r="I11" s="10"/>
      <c r="J11" s="10">
        <f t="shared" si="0"/>
        <v>42477764</v>
      </c>
      <c r="K11" s="10"/>
      <c r="L11" s="10">
        <f t="shared" si="0"/>
        <v>44947157</v>
      </c>
      <c r="M11" s="10"/>
      <c r="N11" s="10">
        <f t="shared" si="0"/>
        <v>50759069</v>
      </c>
      <c r="O11" s="10"/>
      <c r="P11" s="10">
        <f t="shared" si="0"/>
        <v>51909553</v>
      </c>
      <c r="Q11" s="10"/>
      <c r="R11" s="10">
        <f t="shared" si="0"/>
        <v>54060883</v>
      </c>
      <c r="S11" s="10"/>
      <c r="T11" s="10">
        <f t="shared" si="0"/>
        <v>55239355</v>
      </c>
      <c r="U11" s="10"/>
      <c r="V11" s="10">
        <f t="shared" si="0"/>
        <v>64441366</v>
      </c>
    </row>
    <row r="12" spans="1:23" ht="22.5" customHeight="1" x14ac:dyDescent="0.25">
      <c r="A12" s="24" t="s">
        <v>18</v>
      </c>
      <c r="B12" s="25"/>
      <c r="C12" s="10">
        <f>C11</f>
        <v>58982610</v>
      </c>
      <c r="D12" s="10">
        <f t="shared" ref="D12:V12" si="1">D11</f>
        <v>52333649</v>
      </c>
      <c r="E12" s="10">
        <f t="shared" si="1"/>
        <v>51363651</v>
      </c>
      <c r="F12" s="10">
        <f t="shared" si="1"/>
        <v>44430940</v>
      </c>
      <c r="G12" s="10"/>
      <c r="H12" s="10">
        <f t="shared" si="1"/>
        <v>44424438</v>
      </c>
      <c r="I12" s="10"/>
      <c r="J12" s="10">
        <f t="shared" si="1"/>
        <v>42477764</v>
      </c>
      <c r="K12" s="10"/>
      <c r="L12" s="10">
        <f t="shared" si="1"/>
        <v>44947157</v>
      </c>
      <c r="M12" s="10"/>
      <c r="N12" s="10">
        <f t="shared" si="1"/>
        <v>50759069</v>
      </c>
      <c r="O12" s="10"/>
      <c r="P12" s="10">
        <f t="shared" si="1"/>
        <v>51909553</v>
      </c>
      <c r="Q12" s="10"/>
      <c r="R12" s="10">
        <f t="shared" si="1"/>
        <v>54060883</v>
      </c>
      <c r="S12" s="10"/>
      <c r="T12" s="10">
        <f t="shared" si="1"/>
        <v>55239355</v>
      </c>
      <c r="U12" s="10"/>
      <c r="V12" s="10">
        <f t="shared" si="1"/>
        <v>64441366</v>
      </c>
    </row>
  </sheetData>
  <mergeCells count="5">
    <mergeCell ref="A2:V2"/>
    <mergeCell ref="A4:A11"/>
    <mergeCell ref="B4:V4"/>
    <mergeCell ref="B9:V9"/>
    <mergeCell ref="A12:B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2:AH12"/>
  <sheetViews>
    <sheetView zoomScale="70" zoomScaleNormal="70" workbookViewId="0">
      <selection activeCell="AG5" sqref="AG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20.140625" style="1" customWidth="1"/>
    <col min="4" max="4" width="20.140625" style="1" hidden="1" customWidth="1"/>
    <col min="5" max="5" width="20.140625" style="1" customWidth="1"/>
    <col min="6" max="6" width="20.140625" style="1" hidden="1" customWidth="1"/>
    <col min="7" max="7" width="20.140625" style="1" customWidth="1"/>
    <col min="8" max="8" width="20.140625" style="1" hidden="1" customWidth="1"/>
    <col min="9" max="9" width="20.140625" style="1" customWidth="1"/>
    <col min="10" max="11" width="20.140625" style="1" hidden="1" customWidth="1"/>
    <col min="12" max="12" width="20.140625" style="1" customWidth="1"/>
    <col min="13" max="14" width="20.140625" style="1" hidden="1" customWidth="1"/>
    <col min="15" max="15" width="20.140625" style="1" customWidth="1"/>
    <col min="16" max="17" width="20.140625" style="1" hidden="1" customWidth="1"/>
    <col min="18" max="18" width="20.140625" style="1" customWidth="1"/>
    <col min="19" max="20" width="20.140625" style="1" hidden="1" customWidth="1"/>
    <col min="21" max="21" width="20.140625" style="1" customWidth="1"/>
    <col min="22" max="23" width="20.140625" style="1" hidden="1" customWidth="1"/>
    <col min="24" max="24" width="20.140625" style="1" customWidth="1"/>
    <col min="25" max="26" width="20.140625" style="1" hidden="1" customWidth="1"/>
    <col min="27" max="27" width="20.140625" style="1" customWidth="1"/>
    <col min="28" max="29" width="20.140625" style="1" hidden="1" customWidth="1"/>
    <col min="30" max="30" width="20.140625" style="1" customWidth="1"/>
    <col min="31" max="32" width="20.140625" style="1" hidden="1" customWidth="1"/>
    <col min="33" max="33" width="20.140625" style="1" customWidth="1"/>
    <col min="34" max="34" width="9.140625" style="14"/>
    <col min="35" max="16384" width="9.140625" style="1"/>
  </cols>
  <sheetData>
    <row r="2" spans="1:34" ht="42.75" customHeight="1" x14ac:dyDescent="0.25">
      <c r="A2" s="18" t="s">
        <v>33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4" s="2" customFormat="1" ht="33" customHeight="1" x14ac:dyDescent="0.25">
      <c r="A3" s="7" t="s">
        <v>0</v>
      </c>
      <c r="B3" s="8" t="s">
        <v>1</v>
      </c>
      <c r="C3" s="9" t="s">
        <v>2</v>
      </c>
      <c r="D3" s="9"/>
      <c r="E3" s="9" t="s">
        <v>3</v>
      </c>
      <c r="F3" s="9"/>
      <c r="G3" s="9" t="s">
        <v>4</v>
      </c>
      <c r="H3" s="9"/>
      <c r="I3" s="9" t="s">
        <v>5</v>
      </c>
      <c r="J3" s="9"/>
      <c r="K3" s="9"/>
      <c r="L3" s="9" t="s">
        <v>6</v>
      </c>
      <c r="M3" s="9"/>
      <c r="N3" s="9"/>
      <c r="O3" s="9" t="s">
        <v>7</v>
      </c>
      <c r="P3" s="9"/>
      <c r="Q3" s="9"/>
      <c r="R3" s="9" t="s">
        <v>8</v>
      </c>
      <c r="S3" s="9"/>
      <c r="T3" s="9"/>
      <c r="U3" s="9" t="s">
        <v>9</v>
      </c>
      <c r="V3" s="9"/>
      <c r="W3" s="9"/>
      <c r="X3" s="9" t="s">
        <v>10</v>
      </c>
      <c r="Y3" s="9"/>
      <c r="Z3" s="9"/>
      <c r="AA3" s="9" t="s">
        <v>11</v>
      </c>
      <c r="AB3" s="9"/>
      <c r="AC3" s="9"/>
      <c r="AD3" s="9" t="s">
        <v>12</v>
      </c>
      <c r="AE3" s="9"/>
      <c r="AF3" s="9"/>
      <c r="AG3" s="9" t="s">
        <v>13</v>
      </c>
      <c r="AH3" s="15"/>
    </row>
    <row r="4" spans="1:34" ht="22.5" customHeight="1" x14ac:dyDescent="0.25">
      <c r="A4" s="26" t="s">
        <v>32</v>
      </c>
      <c r="B4" s="21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3"/>
    </row>
    <row r="5" spans="1:34" ht="22.5" customHeight="1" x14ac:dyDescent="0.25">
      <c r="A5" s="27"/>
      <c r="B5" s="5" t="s">
        <v>14</v>
      </c>
      <c r="C5" s="3">
        <f>55203184+4570821</f>
        <v>59774005</v>
      </c>
      <c r="D5" s="3">
        <v>0.88765197625766923</v>
      </c>
      <c r="E5" s="3">
        <f>47994845+4096606</f>
        <v>52091451</v>
      </c>
      <c r="F5" s="3">
        <v>0.98436167302777888</v>
      </c>
      <c r="G5" s="3">
        <f>55494901+4362406</f>
        <v>59857307</v>
      </c>
      <c r="H5" s="3">
        <v>0.87088206396295331</v>
      </c>
      <c r="I5" s="3">
        <v>50813974.000000007</v>
      </c>
      <c r="J5" s="3"/>
      <c r="K5" s="3">
        <v>1.0023017972895341</v>
      </c>
      <c r="L5" s="3">
        <f>53425624+2288700</f>
        <v>55714324</v>
      </c>
      <c r="M5" s="3"/>
      <c r="N5" s="3">
        <v>0.94675921074421276</v>
      </c>
      <c r="O5" s="3">
        <f>56170950+2707045</f>
        <v>58877995</v>
      </c>
      <c r="P5" s="3"/>
      <c r="Q5" s="3">
        <v>1.0580816255910401</v>
      </c>
      <c r="R5" s="3">
        <f>52447500+3406604</f>
        <v>55854104</v>
      </c>
      <c r="S5" s="3"/>
      <c r="T5" s="3">
        <v>1.1322421824166811</v>
      </c>
      <c r="U5" s="3">
        <f>55329153+2752695</f>
        <v>58081848</v>
      </c>
      <c r="V5" s="3"/>
      <c r="W5" s="3">
        <v>1.0244782300929884</v>
      </c>
      <c r="X5" s="3">
        <f>53297087+2364137</f>
        <v>55661224</v>
      </c>
      <c r="Y5" s="3"/>
      <c r="Z5" s="3">
        <v>1.0413811809373135</v>
      </c>
      <c r="AA5" s="3">
        <f>52372208+2470596</f>
        <v>54842804</v>
      </c>
      <c r="AB5" s="3"/>
      <c r="AC5" s="3">
        <v>1.0179555855928599</v>
      </c>
      <c r="AD5" s="3">
        <f>50524395+3581838</f>
        <v>54106233</v>
      </c>
      <c r="AE5" s="3"/>
      <c r="AF5" s="3">
        <v>1.1660954344224166</v>
      </c>
      <c r="AG5" s="3">
        <f>55096300+4387548</f>
        <v>59483848</v>
      </c>
      <c r="AH5" s="14">
        <f>'2022'!D5/'2021'!AG5</f>
        <v>1.0542567790839623</v>
      </c>
    </row>
    <row r="6" spans="1:34" ht="22.5" customHeight="1" x14ac:dyDescent="0.25">
      <c r="A6" s="27"/>
      <c r="B6" s="5" t="s">
        <v>15</v>
      </c>
      <c r="C6" s="3">
        <v>225189</v>
      </c>
      <c r="D6" s="3">
        <v>1.0233841327168094</v>
      </c>
      <c r="E6" s="3">
        <v>209414</v>
      </c>
      <c r="F6" s="3">
        <v>0.84974735097272103</v>
      </c>
      <c r="G6" s="3">
        <v>210671</v>
      </c>
      <c r="H6" s="3">
        <v>1.2111304548457804</v>
      </c>
      <c r="I6" s="3">
        <v>157144</v>
      </c>
      <c r="J6" s="3"/>
      <c r="K6" s="3">
        <v>0.73158270733660946</v>
      </c>
      <c r="L6" s="3">
        <f>150332+149833</f>
        <v>300165</v>
      </c>
      <c r="N6" s="1">
        <v>0.3593182221696159</v>
      </c>
      <c r="O6" s="3">
        <f>129000+117992</f>
        <v>246992</v>
      </c>
      <c r="P6" s="3"/>
      <c r="Q6" s="3">
        <v>1.0526731890503014</v>
      </c>
      <c r="R6" s="3">
        <v>184847</v>
      </c>
      <c r="S6" s="3"/>
      <c r="T6" s="3">
        <v>1.4900175240956315</v>
      </c>
      <c r="U6" s="3">
        <v>138828</v>
      </c>
      <c r="V6" s="3"/>
      <c r="W6" s="3">
        <v>0.89319542161083687</v>
      </c>
      <c r="X6" s="3">
        <v>19481</v>
      </c>
      <c r="Y6" s="3"/>
      <c r="Z6" s="3">
        <v>1.5592706239198675</v>
      </c>
      <c r="AA6" s="3">
        <v>153477</v>
      </c>
      <c r="AB6" s="3"/>
      <c r="AC6" s="3">
        <v>1.3009575510819573</v>
      </c>
      <c r="AD6" s="3">
        <v>186808</v>
      </c>
      <c r="AE6" s="3"/>
      <c r="AF6" s="3">
        <v>1.3457280956962201</v>
      </c>
      <c r="AG6" s="3">
        <v>249547</v>
      </c>
      <c r="AH6" s="14">
        <f>'2022'!D6/'2021'!AG6</f>
        <v>0.95421704127879714</v>
      </c>
    </row>
    <row r="7" spans="1:34" ht="22.5" customHeight="1" x14ac:dyDescent="0.25">
      <c r="A7" s="27"/>
      <c r="B7" s="5" t="s">
        <v>16</v>
      </c>
      <c r="C7" s="3">
        <f>126300+1121189</f>
        <v>1247489</v>
      </c>
      <c r="D7" s="3">
        <v>0.8353756897417226</v>
      </c>
      <c r="E7" s="3">
        <f>130600+774529</f>
        <v>905129</v>
      </c>
      <c r="F7" s="3">
        <v>0.84167629597872806</v>
      </c>
      <c r="G7" s="3">
        <f>142000+633903</f>
        <v>775903</v>
      </c>
      <c r="H7" s="3">
        <v>0.35486524506477068</v>
      </c>
      <c r="I7" s="3">
        <v>702569</v>
      </c>
      <c r="J7" s="3"/>
      <c r="K7" s="3">
        <v>0.82117183026910112</v>
      </c>
      <c r="L7" s="3">
        <f>107500+494522</f>
        <v>602022</v>
      </c>
      <c r="M7" s="3"/>
      <c r="N7" s="3">
        <v>3.4608091881004031</v>
      </c>
      <c r="O7" s="3">
        <v>407649</v>
      </c>
      <c r="P7" s="3"/>
      <c r="Q7" s="3">
        <v>1.0603830128967449</v>
      </c>
      <c r="R7" s="3">
        <f>130500+507575</f>
        <v>638075</v>
      </c>
      <c r="S7" s="3"/>
      <c r="T7" s="3">
        <v>0.92079829742991615</v>
      </c>
      <c r="U7" s="3">
        <f>147300+432407</f>
        <v>579707</v>
      </c>
      <c r="V7" s="3"/>
      <c r="W7" s="3">
        <v>0.91787042277739173</v>
      </c>
      <c r="X7" s="3">
        <f>110700+140961+276938</f>
        <v>528599</v>
      </c>
      <c r="Y7" s="3"/>
      <c r="Z7" s="3">
        <v>0.98061408000399641</v>
      </c>
      <c r="AA7" s="3">
        <f>125700+611049</f>
        <v>736749</v>
      </c>
      <c r="AB7" s="3"/>
      <c r="AC7" s="3">
        <v>1.2868375388044258</v>
      </c>
      <c r="AD7" s="3">
        <f>147000+647461</f>
        <v>794461</v>
      </c>
      <c r="AE7" s="3"/>
      <c r="AF7" s="3">
        <v>1.1607752803011653</v>
      </c>
      <c r="AG7" s="3">
        <f>136200+756037</f>
        <v>892237</v>
      </c>
      <c r="AH7" s="14">
        <f>'2022'!D7/'2021'!AG7</f>
        <v>1.23365652847842</v>
      </c>
    </row>
    <row r="8" spans="1:34" ht="22.5" customHeight="1" x14ac:dyDescent="0.25">
      <c r="A8" s="27"/>
      <c r="B8" s="5" t="s">
        <v>17</v>
      </c>
      <c r="C8" s="3">
        <v>3932</v>
      </c>
      <c r="D8" s="3">
        <v>0.72364347401010265</v>
      </c>
      <c r="E8" s="3">
        <v>4052</v>
      </c>
      <c r="F8" s="3">
        <v>1.0153118666966898</v>
      </c>
      <c r="G8" s="3">
        <v>3395</v>
      </c>
      <c r="H8" s="3">
        <v>0.77090263916611224</v>
      </c>
      <c r="I8" s="3">
        <v>2147</v>
      </c>
      <c r="J8" s="3"/>
      <c r="K8" s="3">
        <v>0.96605293440736484</v>
      </c>
      <c r="L8" s="3">
        <v>2757</v>
      </c>
      <c r="M8" s="3"/>
      <c r="N8" s="3">
        <v>0.57921381774865988</v>
      </c>
      <c r="O8" s="3">
        <v>2194</v>
      </c>
      <c r="P8" s="3"/>
      <c r="Q8" s="3">
        <v>0.82107969151670956</v>
      </c>
      <c r="R8" s="3">
        <v>2398</v>
      </c>
      <c r="S8" s="3"/>
      <c r="T8" s="3">
        <v>1.2435817157169693</v>
      </c>
      <c r="U8" s="3">
        <v>2617</v>
      </c>
      <c r="V8" s="3"/>
      <c r="W8" s="3">
        <v>1.0835850956696877</v>
      </c>
      <c r="X8" s="3">
        <v>2109</v>
      </c>
      <c r="Y8" s="3"/>
      <c r="Z8" s="3">
        <v>1.0757434944237918</v>
      </c>
      <c r="AA8" s="3">
        <v>2336</v>
      </c>
      <c r="AB8" s="3"/>
      <c r="AC8" s="3">
        <v>1.4371490280777537</v>
      </c>
      <c r="AD8" s="3">
        <v>2409</v>
      </c>
      <c r="AE8" s="3"/>
      <c r="AF8" s="3">
        <v>1.2016831980763452</v>
      </c>
      <c r="AG8" s="3">
        <v>2861</v>
      </c>
      <c r="AH8" s="14">
        <f>'2022'!D8/'2021'!AG8</f>
        <v>1.4868926948619363</v>
      </c>
    </row>
    <row r="9" spans="1:34" ht="22.5" customHeight="1" x14ac:dyDescent="0.25">
      <c r="A9" s="27"/>
      <c r="B9" s="21" t="s">
        <v>20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/>
    </row>
    <row r="10" spans="1:34" ht="22.5" customHeight="1" x14ac:dyDescent="0.25">
      <c r="A10" s="27"/>
      <c r="B10" s="4"/>
      <c r="C10" s="3">
        <v>8246</v>
      </c>
      <c r="D10" s="3">
        <v>1.0834068287766159</v>
      </c>
      <c r="E10" s="3">
        <v>8057</v>
      </c>
      <c r="F10" s="3">
        <v>0.82544481916501922</v>
      </c>
      <c r="G10" s="3">
        <v>11134</v>
      </c>
      <c r="H10" s="3">
        <v>0.94688644688644685</v>
      </c>
      <c r="I10" s="3">
        <v>7056</v>
      </c>
      <c r="J10" s="3"/>
      <c r="K10" s="3">
        <v>0.91816693944353522</v>
      </c>
      <c r="L10" s="3">
        <v>7412</v>
      </c>
      <c r="M10" s="3"/>
      <c r="N10" s="3">
        <v>0.91281801976989141</v>
      </c>
      <c r="O10" s="3">
        <v>6600</v>
      </c>
      <c r="P10" s="3"/>
      <c r="Q10" s="3">
        <v>1.2994851766376709</v>
      </c>
      <c r="R10" s="3">
        <v>7982</v>
      </c>
      <c r="S10" s="3"/>
      <c r="T10" s="3">
        <v>1.8445355191256831</v>
      </c>
      <c r="U10" s="3">
        <v>9932</v>
      </c>
      <c r="V10" s="3"/>
      <c r="W10" s="3">
        <v>0.63760924307510003</v>
      </c>
      <c r="X10" s="3">
        <v>7772</v>
      </c>
      <c r="Y10" s="3"/>
      <c r="Z10" s="3">
        <v>0.81507724474387266</v>
      </c>
      <c r="AA10" s="3">
        <v>8762</v>
      </c>
      <c r="AB10" s="3"/>
      <c r="AC10" s="3">
        <v>1.0712555223029785</v>
      </c>
      <c r="AD10" s="3">
        <f>2970+355+4200</f>
        <v>7525</v>
      </c>
      <c r="AE10" s="3"/>
      <c r="AF10" s="3">
        <v>1.191831847811627</v>
      </c>
      <c r="AG10" s="3">
        <v>7447</v>
      </c>
      <c r="AH10" s="14">
        <f>'2022'!D10/'2021'!AG10</f>
        <v>3.5502887068618234</v>
      </c>
    </row>
    <row r="11" spans="1:34" ht="22.5" customHeight="1" x14ac:dyDescent="0.25">
      <c r="A11" s="28"/>
      <c r="B11" s="6" t="s">
        <v>18</v>
      </c>
      <c r="C11" s="10">
        <f t="shared" ref="C11:AG11" si="0">SUM(C5:C8,C10)</f>
        <v>61258861</v>
      </c>
      <c r="D11" s="10"/>
      <c r="E11" s="10">
        <f t="shared" si="0"/>
        <v>53218103</v>
      </c>
      <c r="F11" s="10"/>
      <c r="G11" s="10">
        <f t="shared" si="0"/>
        <v>60858410</v>
      </c>
      <c r="H11" s="10"/>
      <c r="I11" s="10">
        <f t="shared" si="0"/>
        <v>51682890.000000007</v>
      </c>
      <c r="J11" s="10"/>
      <c r="K11" s="10"/>
      <c r="L11" s="10">
        <f t="shared" si="0"/>
        <v>56626680</v>
      </c>
      <c r="M11" s="10"/>
      <c r="N11" s="10"/>
      <c r="O11" s="10">
        <f t="shared" si="0"/>
        <v>59541430</v>
      </c>
      <c r="P11" s="10"/>
      <c r="Q11" s="10"/>
      <c r="R11" s="10">
        <f t="shared" si="0"/>
        <v>56687406</v>
      </c>
      <c r="S11" s="10"/>
      <c r="T11" s="10"/>
      <c r="U11" s="10">
        <f t="shared" si="0"/>
        <v>58812932</v>
      </c>
      <c r="V11" s="10"/>
      <c r="W11" s="10"/>
      <c r="X11" s="10">
        <f t="shared" si="0"/>
        <v>56219185</v>
      </c>
      <c r="Y11" s="10"/>
      <c r="Z11" s="10"/>
      <c r="AA11" s="10">
        <f t="shared" si="0"/>
        <v>55744128</v>
      </c>
      <c r="AB11" s="10"/>
      <c r="AC11" s="10"/>
      <c r="AD11" s="10">
        <f t="shared" si="0"/>
        <v>55097436</v>
      </c>
      <c r="AE11" s="10"/>
      <c r="AF11" s="10"/>
      <c r="AG11" s="10">
        <f t="shared" si="0"/>
        <v>60635940</v>
      </c>
    </row>
    <row r="12" spans="1:34" ht="22.5" customHeight="1" x14ac:dyDescent="0.25">
      <c r="A12" s="24" t="s">
        <v>18</v>
      </c>
      <c r="B12" s="25"/>
      <c r="C12" s="10">
        <f>C11</f>
        <v>61258861</v>
      </c>
      <c r="D12" s="10"/>
      <c r="E12" s="10">
        <f t="shared" ref="E12:AG12" si="1">E11</f>
        <v>53218103</v>
      </c>
      <c r="F12" s="10"/>
      <c r="G12" s="10">
        <f t="shared" si="1"/>
        <v>60858410</v>
      </c>
      <c r="H12" s="10"/>
      <c r="I12" s="10">
        <f t="shared" si="1"/>
        <v>51682890.000000007</v>
      </c>
      <c r="J12" s="10"/>
      <c r="K12" s="10"/>
      <c r="L12" s="10">
        <f t="shared" si="1"/>
        <v>56626680</v>
      </c>
      <c r="M12" s="10"/>
      <c r="N12" s="10"/>
      <c r="O12" s="10">
        <f t="shared" si="1"/>
        <v>59541430</v>
      </c>
      <c r="P12" s="10"/>
      <c r="Q12" s="10"/>
      <c r="R12" s="10">
        <f t="shared" si="1"/>
        <v>56687406</v>
      </c>
      <c r="S12" s="10"/>
      <c r="T12" s="10"/>
      <c r="U12" s="10">
        <f t="shared" si="1"/>
        <v>58812932</v>
      </c>
      <c r="V12" s="10"/>
      <c r="W12" s="10"/>
      <c r="X12" s="10">
        <f t="shared" si="1"/>
        <v>56219185</v>
      </c>
      <c r="Y12" s="10"/>
      <c r="Z12" s="10"/>
      <c r="AA12" s="10">
        <f t="shared" si="1"/>
        <v>55744128</v>
      </c>
      <c r="AB12" s="10"/>
      <c r="AC12" s="10"/>
      <c r="AD12" s="10">
        <f t="shared" si="1"/>
        <v>55097436</v>
      </c>
      <c r="AE12" s="10"/>
      <c r="AF12" s="10"/>
      <c r="AG12" s="10">
        <f t="shared" si="1"/>
        <v>60635940</v>
      </c>
    </row>
  </sheetData>
  <mergeCells count="5">
    <mergeCell ref="A2:AG2"/>
    <mergeCell ref="A4:A11"/>
    <mergeCell ref="B4:AG4"/>
    <mergeCell ref="B9:AG9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 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Зиновьев Андрей Сергеевич</cp:lastModifiedBy>
  <dcterms:created xsi:type="dcterms:W3CDTF">2013-11-13T16:10:49Z</dcterms:created>
  <dcterms:modified xsi:type="dcterms:W3CDTF">2025-01-22T08:48:17Z</dcterms:modified>
</cp:coreProperties>
</file>