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реализации\для сайта\_ТСО\по факту\"/>
    </mc:Choice>
  </mc:AlternateContent>
  <bookViews>
    <workbookView xWindow="-15" yWindow="105" windowWidth="10200" windowHeight="7635" firstSheet="8" activeTab="11"/>
  </bookViews>
  <sheets>
    <sheet name="2013" sheetId="11" state="hidden" r:id="rId1"/>
    <sheet name="2014" sheetId="13" state="hidden" r:id="rId2"/>
    <sheet name="2015" sheetId="14" state="hidden" r:id="rId3"/>
    <sheet name="2016" sheetId="12" state="hidden" r:id="rId4"/>
    <sheet name="2017" sheetId="15" state="hidden" r:id="rId5"/>
    <sheet name="2018" sheetId="16" state="hidden" r:id="rId6"/>
    <sheet name="2019" sheetId="17" state="hidden" r:id="rId7"/>
    <sheet name="2020" sheetId="18" state="hidden" r:id="rId8"/>
    <sheet name="2021" sheetId="19" r:id="rId9"/>
    <sheet name="2022" sheetId="20" r:id="rId10"/>
    <sheet name="2023" sheetId="21" r:id="rId11"/>
    <sheet name="2024" sheetId="22" r:id="rId12"/>
  </sheets>
  <calcPr calcId="162913"/>
</workbook>
</file>

<file path=xl/calcChain.xml><?xml version="1.0" encoding="utf-8"?>
<calcChain xmlns="http://schemas.openxmlformats.org/spreadsheetml/2006/main">
  <c r="N10" i="22" l="1"/>
  <c r="N8" i="22"/>
  <c r="N7" i="22"/>
  <c r="M10" i="22" l="1"/>
  <c r="M8" i="22"/>
  <c r="M7" i="22"/>
  <c r="L10" i="22" l="1"/>
  <c r="L8" i="22"/>
  <c r="L7" i="22"/>
  <c r="K10" i="22" l="1"/>
  <c r="K8" i="22"/>
  <c r="K7" i="22"/>
  <c r="J10" i="22" l="1"/>
  <c r="J8" i="22"/>
  <c r="J7" i="22"/>
  <c r="I10" i="22" l="1"/>
  <c r="I8" i="22"/>
  <c r="I7" i="22"/>
  <c r="H10" i="22" l="1"/>
  <c r="H8" i="22"/>
  <c r="H7" i="22"/>
  <c r="G10" i="22" l="1"/>
  <c r="G8" i="22"/>
  <c r="G7" i="22"/>
  <c r="F10" i="22" l="1"/>
  <c r="F8" i="22"/>
  <c r="F7" i="22"/>
  <c r="E10" i="22" l="1"/>
  <c r="E8" i="22"/>
  <c r="E7" i="22"/>
  <c r="D10" i="22" l="1"/>
  <c r="D8" i="22"/>
  <c r="D7" i="22"/>
  <c r="C10" i="22" l="1"/>
  <c r="C8" i="22"/>
  <c r="C7" i="22"/>
  <c r="G11" i="22"/>
  <c r="G12" i="22" s="1"/>
  <c r="F11" i="22"/>
  <c r="F12" i="22" s="1"/>
  <c r="M11" i="22"/>
  <c r="M12" i="22" s="1"/>
  <c r="L11" i="22"/>
  <c r="L12" i="22" s="1"/>
  <c r="N11" i="22"/>
  <c r="N12" i="22" s="1"/>
  <c r="K11" i="22"/>
  <c r="K12" i="22" s="1"/>
  <c r="J11" i="22"/>
  <c r="J12" i="22" s="1"/>
  <c r="I11" i="22"/>
  <c r="I12" i="22" s="1"/>
  <c r="H11" i="22"/>
  <c r="H12" i="22" s="1"/>
  <c r="E11" i="22"/>
  <c r="E12" i="22" s="1"/>
  <c r="D11" i="22"/>
  <c r="D12" i="22" s="1"/>
  <c r="C11" i="22"/>
  <c r="C12" i="22" s="1"/>
  <c r="N10" i="21" l="1"/>
  <c r="N8" i="21"/>
  <c r="N7" i="21"/>
  <c r="M10" i="21" l="1"/>
  <c r="M8" i="21"/>
  <c r="M7" i="21"/>
  <c r="L10" i="21" l="1"/>
  <c r="L8" i="21"/>
  <c r="L7" i="21"/>
  <c r="K10" i="21" l="1"/>
  <c r="K8" i="21"/>
  <c r="K7" i="21"/>
  <c r="J10" i="21" l="1"/>
  <c r="J8" i="21"/>
  <c r="J7" i="21"/>
  <c r="I10" i="21" l="1"/>
  <c r="I8" i="21"/>
  <c r="I7" i="21"/>
  <c r="H10" i="21" l="1"/>
  <c r="H8" i="21"/>
  <c r="H7" i="21"/>
  <c r="F10" i="21" l="1"/>
  <c r="F8" i="21"/>
  <c r="F7" i="21"/>
  <c r="E10" i="21" l="1"/>
  <c r="E8" i="21"/>
  <c r="E7" i="21"/>
  <c r="D11" i="21" l="1"/>
  <c r="D12" i="21" s="1"/>
  <c r="D10" i="21"/>
  <c r="D8" i="21"/>
  <c r="D7" i="21"/>
  <c r="C10" i="21" l="1"/>
  <c r="C8" i="21"/>
  <c r="C7" i="21"/>
  <c r="AH10" i="19" l="1"/>
  <c r="AH8" i="19"/>
  <c r="AH7" i="19"/>
  <c r="AH6" i="19"/>
  <c r="AH5" i="19"/>
  <c r="N11" i="21"/>
  <c r="N12" i="21" s="1"/>
  <c r="M11" i="21"/>
  <c r="M12" i="21" s="1"/>
  <c r="L11" i="21"/>
  <c r="L12" i="21" s="1"/>
  <c r="K11" i="21"/>
  <c r="K12" i="21" s="1"/>
  <c r="J11" i="21"/>
  <c r="J12" i="21" s="1"/>
  <c r="I11" i="21"/>
  <c r="I12" i="21" s="1"/>
  <c r="H11" i="21"/>
  <c r="H12" i="21" s="1"/>
  <c r="G11" i="21"/>
  <c r="G12" i="21" s="1"/>
  <c r="F11" i="21"/>
  <c r="F12" i="21" s="1"/>
  <c r="E11" i="21"/>
  <c r="E12" i="21" s="1"/>
  <c r="C11" i="21" l="1"/>
  <c r="C12" i="21" s="1"/>
  <c r="AS10" i="20"/>
  <c r="AS8" i="20"/>
  <c r="AS7" i="20"/>
  <c r="AS11" i="20"/>
  <c r="AS12" i="20"/>
  <c r="AO10" i="20"/>
  <c r="AO8" i="20"/>
  <c r="AO7" i="20"/>
  <c r="AK10" i="20"/>
  <c r="AK8" i="20"/>
  <c r="AK7" i="20"/>
  <c r="AG10" i="20"/>
  <c r="AG8" i="20"/>
  <c r="AG7" i="20"/>
  <c r="AC10" i="20"/>
  <c r="AC8" i="20"/>
  <c r="AC7" i="20"/>
  <c r="Y10" i="20"/>
  <c r="Y8" i="20"/>
  <c r="Y7" i="20"/>
  <c r="U10" i="20"/>
  <c r="U8" i="20"/>
  <c r="U7" i="20"/>
  <c r="Q10" i="20"/>
  <c r="Q8" i="20"/>
  <c r="Q7" i="20"/>
  <c r="M10" i="20"/>
  <c r="M8" i="20"/>
  <c r="M7" i="20"/>
  <c r="J10" i="20"/>
  <c r="J8" i="20"/>
  <c r="J7" i="20"/>
  <c r="G10" i="20"/>
  <c r="G8" i="20"/>
  <c r="G7" i="20"/>
  <c r="D10" i="20"/>
  <c r="D8" i="20"/>
  <c r="D7" i="20"/>
  <c r="D11" i="20"/>
  <c r="D12" i="20"/>
  <c r="W10" i="18"/>
  <c r="W8" i="18"/>
  <c r="W7" i="18"/>
  <c r="W6" i="18"/>
  <c r="W5" i="18"/>
  <c r="AK11" i="20"/>
  <c r="AK12" i="20"/>
  <c r="AG11" i="20"/>
  <c r="AG12" i="20"/>
  <c r="U11" i="20"/>
  <c r="U12" i="20"/>
  <c r="Q11" i="20"/>
  <c r="Q12" i="20"/>
  <c r="G11" i="20"/>
  <c r="G12" i="20"/>
  <c r="AO11" i="20"/>
  <c r="AO12" i="20"/>
  <c r="AC11" i="20"/>
  <c r="AC12" i="20"/>
  <c r="Y11" i="20"/>
  <c r="Y12" i="20"/>
  <c r="M11" i="20"/>
  <c r="M12" i="20"/>
  <c r="J11" i="20"/>
  <c r="J12" i="20"/>
  <c r="AG10" i="19"/>
  <c r="AG8" i="19"/>
  <c r="AG7" i="19"/>
  <c r="AD8" i="19"/>
  <c r="AD7" i="19"/>
  <c r="AD10" i="19"/>
  <c r="AA10" i="19"/>
  <c r="AA8" i="19"/>
  <c r="AA7" i="19"/>
  <c r="X10" i="19"/>
  <c r="X8" i="19"/>
  <c r="X7" i="19"/>
  <c r="U10" i="19"/>
  <c r="U8" i="19"/>
  <c r="U7" i="19"/>
  <c r="R10" i="19"/>
  <c r="R8" i="19"/>
  <c r="R7" i="19"/>
  <c r="O10" i="19"/>
  <c r="O8" i="19"/>
  <c r="O7" i="19"/>
  <c r="L10" i="19"/>
  <c r="L8" i="19"/>
  <c r="L7" i="19"/>
  <c r="I7" i="19"/>
  <c r="I8" i="19"/>
  <c r="I10" i="19"/>
  <c r="G10" i="19"/>
  <c r="G8" i="19"/>
  <c r="G7" i="19"/>
  <c r="E10" i="19"/>
  <c r="E8" i="19"/>
  <c r="E7" i="19"/>
  <c r="AG11" i="19"/>
  <c r="AG12" i="19"/>
  <c r="AA11" i="19"/>
  <c r="AA12" i="19"/>
  <c r="X11" i="19"/>
  <c r="X12" i="19"/>
  <c r="U11" i="19"/>
  <c r="U12" i="19"/>
  <c r="R11" i="19"/>
  <c r="R12" i="19"/>
  <c r="O11" i="19"/>
  <c r="O12" i="19"/>
  <c r="L11" i="19"/>
  <c r="L12" i="19"/>
  <c r="I11" i="19"/>
  <c r="I12" i="19"/>
  <c r="G11" i="19"/>
  <c r="G12" i="19"/>
  <c r="E11" i="19"/>
  <c r="E12" i="19"/>
  <c r="C11" i="19"/>
  <c r="C12" i="19"/>
  <c r="AD11" i="19"/>
  <c r="AD12" i="19"/>
  <c r="V10" i="18"/>
  <c r="V8" i="18"/>
  <c r="V7" i="18"/>
  <c r="O6" i="17"/>
  <c r="O5" i="17"/>
  <c r="T8" i="18"/>
  <c r="T7" i="18"/>
  <c r="T10" i="18"/>
  <c r="T6" i="18"/>
  <c r="T5" i="18"/>
  <c r="R10" i="18"/>
  <c r="R8" i="18"/>
  <c r="R7" i="18"/>
  <c r="P10" i="18"/>
  <c r="P8" i="18"/>
  <c r="P7" i="18"/>
  <c r="N10" i="18"/>
  <c r="N8" i="18"/>
  <c r="N7" i="18"/>
  <c r="L10" i="18"/>
  <c r="L8" i="18"/>
  <c r="L7" i="18"/>
  <c r="J10" i="18"/>
  <c r="J8" i="18"/>
  <c r="J7" i="18"/>
  <c r="H10" i="18"/>
  <c r="H8" i="18"/>
  <c r="H7" i="18"/>
  <c r="F10" i="18"/>
  <c r="F8" i="18"/>
  <c r="F7" i="18"/>
  <c r="E10" i="18"/>
  <c r="E8" i="18"/>
  <c r="E7" i="18"/>
  <c r="D10" i="18"/>
  <c r="D8" i="18"/>
  <c r="D7" i="18"/>
  <c r="Q6" i="17"/>
  <c r="Q5" i="17"/>
  <c r="C10" i="18"/>
  <c r="C8" i="18"/>
  <c r="C7" i="18"/>
  <c r="V11" i="18"/>
  <c r="V12" i="18"/>
  <c r="T11" i="18"/>
  <c r="T12" i="18"/>
  <c r="R11" i="18"/>
  <c r="R12" i="18"/>
  <c r="P11" i="18"/>
  <c r="P12" i="18"/>
  <c r="N11" i="18"/>
  <c r="N12" i="18"/>
  <c r="L11" i="18"/>
  <c r="L12" i="18"/>
  <c r="J11" i="18"/>
  <c r="J12" i="18"/>
  <c r="H11" i="18"/>
  <c r="H12" i="18"/>
  <c r="F11" i="18"/>
  <c r="F12" i="18"/>
  <c r="E11" i="18"/>
  <c r="E12" i="18"/>
  <c r="D11" i="18"/>
  <c r="D12" i="18"/>
  <c r="C11" i="18"/>
  <c r="C12" i="18"/>
  <c r="N10" i="17"/>
  <c r="N8" i="17"/>
  <c r="N7" i="17"/>
  <c r="M10" i="17"/>
  <c r="O10" i="17"/>
  <c r="M8" i="17"/>
  <c r="O8" i="17"/>
  <c r="M7" i="17"/>
  <c r="O7" i="17"/>
  <c r="L10" i="17"/>
  <c r="L8" i="17"/>
  <c r="L7" i="17"/>
  <c r="K10" i="17"/>
  <c r="K8" i="17"/>
  <c r="K7" i="17"/>
  <c r="J10" i="17"/>
  <c r="J8" i="17"/>
  <c r="J7" i="17"/>
  <c r="I10" i="17"/>
  <c r="I8" i="17"/>
  <c r="I7" i="17"/>
  <c r="Q10" i="17"/>
  <c r="H8" i="17"/>
  <c r="H7" i="17"/>
  <c r="G8" i="17"/>
  <c r="G7" i="17"/>
  <c r="F8" i="17"/>
  <c r="F7" i="17"/>
  <c r="E8" i="17"/>
  <c r="E7" i="17"/>
  <c r="D8" i="17"/>
  <c r="D7" i="17"/>
  <c r="C8" i="17"/>
  <c r="Q8" i="17"/>
  <c r="C7" i="17"/>
  <c r="Q7" i="17"/>
  <c r="C11" i="17"/>
  <c r="C12" i="17"/>
  <c r="N11" i="17"/>
  <c r="N12" i="17"/>
  <c r="M11" i="17"/>
  <c r="M12" i="17"/>
  <c r="L11" i="17"/>
  <c r="L12" i="17"/>
  <c r="K11" i="17"/>
  <c r="K12" i="17"/>
  <c r="J11" i="17"/>
  <c r="J12" i="17"/>
  <c r="I11" i="17"/>
  <c r="I12" i="17"/>
  <c r="H11" i="17"/>
  <c r="H12" i="17"/>
  <c r="G11" i="17"/>
  <c r="G12" i="17"/>
  <c r="F11" i="17"/>
  <c r="F12" i="17"/>
  <c r="E11" i="17"/>
  <c r="E12" i="17"/>
  <c r="D11" i="17"/>
  <c r="D12" i="17"/>
  <c r="N8" i="16"/>
  <c r="N7" i="16"/>
  <c r="M8" i="16"/>
  <c r="M7" i="16"/>
  <c r="L8" i="16"/>
  <c r="L7" i="16"/>
  <c r="K8" i="16"/>
  <c r="K7" i="16"/>
  <c r="J8" i="16"/>
  <c r="J7" i="16"/>
  <c r="I8" i="16"/>
  <c r="I7" i="16"/>
  <c r="H8" i="16"/>
  <c r="H7" i="16"/>
  <c r="G8" i="16"/>
  <c r="G7" i="16"/>
  <c r="F8" i="16"/>
  <c r="F7" i="16"/>
  <c r="E8" i="16"/>
  <c r="E7" i="16"/>
  <c r="D8" i="16"/>
  <c r="D7" i="16"/>
  <c r="C8" i="16"/>
  <c r="C7" i="16"/>
  <c r="N11" i="16"/>
  <c r="N12" i="16"/>
  <c r="M11" i="16"/>
  <c r="M12" i="16"/>
  <c r="L11" i="16"/>
  <c r="L12" i="16"/>
  <c r="K11" i="16"/>
  <c r="K12" i="16"/>
  <c r="J11" i="16"/>
  <c r="J12" i="16"/>
  <c r="I11" i="16"/>
  <c r="I12" i="16"/>
  <c r="H11" i="16"/>
  <c r="H12" i="16"/>
  <c r="G11" i="16"/>
  <c r="G12" i="16"/>
  <c r="F11" i="16"/>
  <c r="F12" i="16"/>
  <c r="E11" i="16"/>
  <c r="E12" i="16"/>
  <c r="C11" i="16"/>
  <c r="C12" i="16"/>
  <c r="D11" i="16"/>
  <c r="D12" i="16"/>
  <c r="N12" i="15"/>
  <c r="N9" i="15"/>
  <c r="M10" i="15"/>
  <c r="M9" i="15"/>
  <c r="L10" i="15"/>
  <c r="L9" i="15"/>
  <c r="K10" i="15"/>
  <c r="K9" i="15"/>
  <c r="K13" i="15"/>
  <c r="K14" i="15"/>
  <c r="J10" i="15"/>
  <c r="J9" i="15"/>
  <c r="J13" i="15"/>
  <c r="J14" i="15"/>
  <c r="I10" i="15"/>
  <c r="I9" i="15"/>
  <c r="I13" i="15"/>
  <c r="I14" i="15"/>
  <c r="H10" i="15"/>
  <c r="H9" i="15"/>
  <c r="G10" i="15"/>
  <c r="G9" i="15"/>
  <c r="G13" i="15"/>
  <c r="G14" i="15"/>
  <c r="F10" i="15"/>
  <c r="F9" i="15"/>
  <c r="E10" i="15"/>
  <c r="E9" i="15"/>
  <c r="C6" i="15"/>
  <c r="D6" i="15"/>
  <c r="D10" i="15"/>
  <c r="D9" i="15"/>
  <c r="C10" i="15"/>
  <c r="C9" i="15"/>
  <c r="N13" i="15"/>
  <c r="N14" i="15"/>
  <c r="M13" i="15"/>
  <c r="M14" i="15"/>
  <c r="L13" i="15"/>
  <c r="L14" i="15"/>
  <c r="H13" i="15"/>
  <c r="H14" i="15"/>
  <c r="F13" i="15"/>
  <c r="F14" i="15"/>
  <c r="E13" i="15"/>
  <c r="E14" i="15"/>
  <c r="D13" i="15"/>
  <c r="D14" i="15"/>
  <c r="C13" i="15"/>
  <c r="C14" i="15"/>
  <c r="N12" i="12"/>
  <c r="N13" i="12"/>
  <c r="M12" i="12"/>
  <c r="M13" i="12"/>
  <c r="L12" i="12"/>
  <c r="L13" i="12"/>
  <c r="K12" i="12"/>
  <c r="K13" i="12"/>
  <c r="J12" i="12"/>
  <c r="J13" i="12"/>
  <c r="I12" i="12"/>
  <c r="I13" i="12"/>
  <c r="H12" i="12"/>
  <c r="H13" i="12"/>
  <c r="G12" i="12"/>
  <c r="G13" i="12"/>
  <c r="F12" i="12"/>
  <c r="F13" i="12"/>
  <c r="E12" i="12"/>
  <c r="E13" i="12"/>
  <c r="D12" i="12"/>
  <c r="D13" i="12"/>
  <c r="C12" i="12"/>
  <c r="C13" i="12"/>
  <c r="J12" i="14"/>
  <c r="J13" i="14"/>
  <c r="N12" i="14"/>
  <c r="N13" i="14"/>
  <c r="M12" i="14"/>
  <c r="M13" i="14"/>
  <c r="L12" i="14"/>
  <c r="L13" i="14"/>
  <c r="K12" i="14"/>
  <c r="K13" i="14"/>
  <c r="I12" i="14"/>
  <c r="I13" i="14"/>
  <c r="H12" i="14"/>
  <c r="H13" i="14"/>
  <c r="G12" i="14"/>
  <c r="G13" i="14"/>
  <c r="F12" i="14"/>
  <c r="F13" i="14"/>
  <c r="E12" i="14"/>
  <c r="E13" i="14"/>
  <c r="D12" i="14"/>
  <c r="D13" i="14"/>
  <c r="C12" i="14"/>
  <c r="C13" i="14"/>
  <c r="N12" i="13"/>
  <c r="N13" i="13"/>
  <c r="M12" i="13"/>
  <c r="M13" i="13"/>
  <c r="L12" i="13"/>
  <c r="L13" i="13"/>
  <c r="K12" i="13"/>
  <c r="K13" i="13"/>
  <c r="J12" i="13"/>
  <c r="J13" i="13"/>
  <c r="I12" i="13"/>
  <c r="I13" i="13"/>
  <c r="H12" i="13"/>
  <c r="H13" i="13"/>
  <c r="G12" i="13"/>
  <c r="G13" i="13"/>
  <c r="F12" i="13"/>
  <c r="F13" i="13"/>
  <c r="E12" i="13"/>
  <c r="E13" i="13"/>
  <c r="D12" i="13"/>
  <c r="D13" i="13"/>
  <c r="C12" i="13"/>
  <c r="C13" i="13"/>
  <c r="N12" i="11"/>
  <c r="N13" i="11"/>
  <c r="M12" i="11"/>
  <c r="M13" i="11"/>
  <c r="L12" i="11"/>
  <c r="L13" i="11"/>
  <c r="K12" i="11"/>
  <c r="K13" i="11"/>
  <c r="J12" i="11"/>
  <c r="J13" i="11"/>
  <c r="I12" i="11"/>
  <c r="I13" i="11"/>
  <c r="H12" i="11"/>
  <c r="H13" i="11"/>
  <c r="G12" i="11"/>
  <c r="G13" i="11"/>
  <c r="F12" i="11"/>
  <c r="F13" i="11"/>
  <c r="E12" i="11"/>
  <c r="E13" i="11"/>
  <c r="D12" i="11"/>
  <c r="D13" i="11"/>
  <c r="C12" i="11"/>
  <c r="C13" i="11"/>
</calcChain>
</file>

<file path=xl/sharedStrings.xml><?xml version="1.0" encoding="utf-8"?>
<sst xmlns="http://schemas.openxmlformats.org/spreadsheetml/2006/main" count="294" uniqueCount="39">
  <si>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</si>
  <si>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</si>
  <si>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</si>
  <si>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</si>
  <si>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</si>
  <si>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</si>
  <si>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</si>
  <si>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</si>
  <si>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</si>
  <si>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</si>
  <si>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</si>
  <si>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</si>
  <si>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</si>
  <si>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</si>
  <si>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</si>
  <si>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</si>
  <si>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</si>
  <si>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</si>
  <si>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</si>
  <si>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</si>
  <si>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ВСЕГО</t>
  </si>
  <si>
    <t>Прочие потребители, КВтч</t>
  </si>
  <si>
    <t>Население, КВтч</t>
  </si>
  <si>
    <t>ГН</t>
  </si>
  <si>
    <t>ОАО "МРСК Волги" "Саратовэнерго"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</si>
  <si>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</si>
  <si>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</si>
  <si>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</si>
  <si>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2016 год</t>
  </si>
  <si>
    <t>ПАО "МРСК Волги" "Саратовэнерго"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</si>
  <si>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</si>
  <si>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</si>
  <si>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</si>
  <si>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2020 год</t>
  </si>
  <si>
    <t>Филиал ПАО «Россети Волга» -"Саратовские распределительные сети"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</si>
  <si>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</si>
  <si>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</si>
  <si>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</si>
  <si>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Саратовской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</si>
</sst>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/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10" sqref="A10:XFD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23</v>
      </c>
      <c r="C5" s="7"/>
      <c r="D5" s="7"/>
      <c r="E5" s="7">
        <v>156945</v>
      </c>
      <c r="F5" s="7">
        <v>63889</v>
      </c>
      <c r="G5" s="7">
        <v>2678</v>
      </c>
      <c r="H5" s="7">
        <v>107138</v>
      </c>
      <c r="I5" s="7">
        <v>52233</v>
      </c>
      <c r="J5" s="7">
        <v>13912</v>
      </c>
      <c r="K5" s="7">
        <v>78038</v>
      </c>
      <c r="L5" s="7">
        <v>169564</v>
      </c>
      <c r="M5" s="7">
        <v>171214</v>
      </c>
      <c r="N5" s="7">
        <v>446078</v>
      </c>
    </row>
    <row r="6" spans="1:14" ht="22.5" customHeight="1" x14ac:dyDescent="0.25">
      <c r="A6" s="24"/>
      <c r="B6" s="6" t="s">
        <v>14</v>
      </c>
      <c r="C6" s="7">
        <v>71762083</v>
      </c>
      <c r="D6" s="7">
        <v>64128776</v>
      </c>
      <c r="E6" s="7">
        <v>69068846</v>
      </c>
      <c r="F6" s="7">
        <v>57184427</v>
      </c>
      <c r="G6" s="7">
        <v>54227647</v>
      </c>
      <c r="H6" s="7">
        <v>53834428</v>
      </c>
      <c r="I6" s="7">
        <v>58573897</v>
      </c>
      <c r="J6" s="7">
        <v>58707192</v>
      </c>
      <c r="K6" s="7">
        <v>57598630</v>
      </c>
      <c r="L6" s="7">
        <v>59378365</v>
      </c>
      <c r="M6" s="7">
        <v>60731803</v>
      </c>
      <c r="N6" s="7">
        <v>67652004</v>
      </c>
    </row>
    <row r="7" spans="1:14" ht="22.5" customHeight="1" x14ac:dyDescent="0.25">
      <c r="A7" s="24"/>
      <c r="B7" s="6" t="s">
        <v>15</v>
      </c>
      <c r="C7" s="7">
        <v>711578</v>
      </c>
      <c r="D7" s="7">
        <v>605729</v>
      </c>
      <c r="E7" s="7">
        <v>591013</v>
      </c>
      <c r="F7" s="7">
        <v>256308</v>
      </c>
      <c r="G7" s="7">
        <v>101218</v>
      </c>
      <c r="H7" s="7">
        <v>25238</v>
      </c>
      <c r="I7" s="7">
        <v>123716</v>
      </c>
      <c r="J7" s="7">
        <v>159837</v>
      </c>
      <c r="K7" s="7">
        <v>268991</v>
      </c>
      <c r="L7" s="7">
        <v>205991</v>
      </c>
      <c r="M7" s="7">
        <v>501537</v>
      </c>
      <c r="N7" s="7">
        <v>627965</v>
      </c>
    </row>
    <row r="8" spans="1:14" ht="22.5" customHeight="1" x14ac:dyDescent="0.25">
      <c r="A8" s="24"/>
      <c r="B8" s="6" t="s">
        <v>16</v>
      </c>
      <c r="C8" s="7">
        <v>2564835</v>
      </c>
      <c r="D8" s="7">
        <v>2429236</v>
      </c>
      <c r="E8" s="7">
        <v>2418580</v>
      </c>
      <c r="F8" s="7">
        <v>2127051</v>
      </c>
      <c r="G8" s="7">
        <v>1391777</v>
      </c>
      <c r="H8" s="7">
        <v>1307683</v>
      </c>
      <c r="I8" s="7">
        <v>1191995</v>
      </c>
      <c r="J8" s="7">
        <v>1226518</v>
      </c>
      <c r="K8" s="7">
        <v>1368356</v>
      </c>
      <c r="L8" s="7">
        <v>1992371</v>
      </c>
      <c r="M8" s="7">
        <v>2174096</v>
      </c>
      <c r="N8" s="7">
        <v>2366606</v>
      </c>
    </row>
    <row r="9" spans="1:14" ht="22.5" customHeight="1" x14ac:dyDescent="0.25">
      <c r="A9" s="24"/>
      <c r="B9" s="6" t="s">
        <v>17</v>
      </c>
      <c r="C9" s="7">
        <v>2771527</v>
      </c>
      <c r="D9" s="7">
        <v>2586931</v>
      </c>
      <c r="E9" s="7">
        <v>2340971</v>
      </c>
      <c r="F9" s="7">
        <v>2104593</v>
      </c>
      <c r="G9" s="7">
        <v>1672156</v>
      </c>
      <c r="H9" s="7">
        <v>1658502</v>
      </c>
      <c r="I9" s="7">
        <v>1771500</v>
      </c>
      <c r="J9" s="7">
        <v>1715999</v>
      </c>
      <c r="K9" s="7">
        <v>1705807</v>
      </c>
      <c r="L9" s="7">
        <v>2110039</v>
      </c>
      <c r="M9" s="7">
        <v>2299983</v>
      </c>
      <c r="N9" s="7">
        <v>2391558</v>
      </c>
    </row>
    <row r="10" spans="1:14" ht="22.5" customHeight="1" x14ac:dyDescent="0.25">
      <c r="A10" s="24"/>
      <c r="B10" s="25" t="s">
        <v>22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22.5" customHeight="1" x14ac:dyDescent="0.25">
      <c r="A11" s="24"/>
      <c r="B11" s="8"/>
      <c r="C11" s="7">
        <v>2633169</v>
      </c>
      <c r="D11" s="7">
        <v>2324561</v>
      </c>
      <c r="E11" s="7">
        <v>2207474</v>
      </c>
      <c r="F11" s="7">
        <v>2197389</v>
      </c>
      <c r="G11" s="7">
        <v>2333301</v>
      </c>
      <c r="H11" s="7">
        <v>2480217</v>
      </c>
      <c r="I11" s="7">
        <v>2462807</v>
      </c>
      <c r="J11" s="7">
        <v>2502913</v>
      </c>
      <c r="K11" s="7">
        <v>2310921</v>
      </c>
      <c r="L11" s="7">
        <v>2819838</v>
      </c>
      <c r="M11" s="7">
        <v>2419258</v>
      </c>
      <c r="N11" s="7">
        <v>2398495</v>
      </c>
    </row>
    <row r="12" spans="1:14" ht="22.5" customHeight="1" x14ac:dyDescent="0.25">
      <c r="A12" s="20" t="s">
        <v>18</v>
      </c>
      <c r="B12" s="21"/>
      <c r="C12" s="9">
        <f t="shared" ref="C12:N12" si="0">SUM(C5:C9,C11)</f>
        <v>80443192</v>
      </c>
      <c r="D12" s="9">
        <f t="shared" si="0"/>
        <v>72075233</v>
      </c>
      <c r="E12" s="9">
        <f t="shared" si="0"/>
        <v>76783829</v>
      </c>
      <c r="F12" s="9">
        <f t="shared" si="0"/>
        <v>63933657</v>
      </c>
      <c r="G12" s="9">
        <f t="shared" si="0"/>
        <v>59728777</v>
      </c>
      <c r="H12" s="9">
        <f t="shared" si="0"/>
        <v>59413206</v>
      </c>
      <c r="I12" s="9">
        <f t="shared" si="0"/>
        <v>64176148</v>
      </c>
      <c r="J12" s="9">
        <f t="shared" si="0"/>
        <v>64326371</v>
      </c>
      <c r="K12" s="9">
        <f t="shared" si="0"/>
        <v>63330743</v>
      </c>
      <c r="L12" s="9">
        <f t="shared" si="0"/>
        <v>66676168</v>
      </c>
      <c r="M12" s="9">
        <f t="shared" si="0"/>
        <v>68297891</v>
      </c>
      <c r="N12" s="9">
        <f t="shared" si="0"/>
        <v>75882706</v>
      </c>
    </row>
    <row r="13" spans="1:14" s="10" customFormat="1" ht="22.5" customHeight="1" x14ac:dyDescent="0.2">
      <c r="A13" s="20" t="s">
        <v>20</v>
      </c>
      <c r="B13" s="21"/>
      <c r="C13" s="9">
        <f>C12</f>
        <v>80443192</v>
      </c>
      <c r="D13" s="9">
        <f t="shared" ref="D13:N13" si="1">D12</f>
        <v>72075233</v>
      </c>
      <c r="E13" s="9">
        <f t="shared" si="1"/>
        <v>76783829</v>
      </c>
      <c r="F13" s="9">
        <f t="shared" si="1"/>
        <v>63933657</v>
      </c>
      <c r="G13" s="9">
        <f t="shared" si="1"/>
        <v>59728777</v>
      </c>
      <c r="H13" s="9">
        <f t="shared" si="1"/>
        <v>59413206</v>
      </c>
      <c r="I13" s="9">
        <f t="shared" si="1"/>
        <v>64176148</v>
      </c>
      <c r="J13" s="9">
        <f t="shared" si="1"/>
        <v>64326371</v>
      </c>
      <c r="K13" s="9">
        <f t="shared" si="1"/>
        <v>63330743</v>
      </c>
      <c r="L13" s="9">
        <f t="shared" si="1"/>
        <v>66676168</v>
      </c>
      <c r="M13" s="9">
        <f t="shared" si="1"/>
        <v>68297891</v>
      </c>
      <c r="N13" s="9">
        <f t="shared" si="1"/>
        <v>75882706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5"/>
  <sheetViews>
    <sheetView zoomScale="70" zoomScaleNormal="70" workbookViewId="0">
      <selection activeCell="AT5" sqref="AT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9.5703125" style="1" customWidth="1"/>
    <col min="5" max="6" width="19.5703125" style="1" hidden="1" customWidth="1"/>
    <col min="7" max="7" width="19.5703125" style="1" customWidth="1"/>
    <col min="8" max="9" width="19.5703125" style="1" hidden="1" customWidth="1"/>
    <col min="10" max="10" width="19.5703125" style="1" customWidth="1"/>
    <col min="11" max="12" width="19.5703125" style="1" hidden="1" customWidth="1"/>
    <col min="13" max="13" width="19.5703125" style="1" customWidth="1"/>
    <col min="14" max="16" width="19.5703125" style="1" hidden="1" customWidth="1"/>
    <col min="17" max="17" width="19.5703125" style="1" customWidth="1"/>
    <col min="18" max="20" width="19.5703125" style="1" hidden="1" customWidth="1"/>
    <col min="21" max="21" width="19.5703125" style="1" customWidth="1"/>
    <col min="22" max="24" width="19.5703125" style="1" hidden="1" customWidth="1"/>
    <col min="25" max="25" width="19.5703125" style="1" customWidth="1"/>
    <col min="26" max="28" width="19.5703125" style="1" hidden="1" customWidth="1"/>
    <col min="29" max="29" width="19.5703125" style="1" customWidth="1"/>
    <col min="30" max="32" width="19.5703125" style="1" hidden="1" customWidth="1"/>
    <col min="33" max="33" width="19.5703125" style="1" customWidth="1"/>
    <col min="34" max="36" width="19.5703125" style="1" hidden="1" customWidth="1"/>
    <col min="37" max="37" width="19.5703125" style="1" customWidth="1"/>
    <col min="38" max="40" width="19.5703125" style="1" hidden="1" customWidth="1"/>
    <col min="41" max="41" width="19.5703125" style="1" customWidth="1"/>
    <col min="42" max="44" width="19.5703125" style="1" hidden="1" customWidth="1"/>
    <col min="45" max="45" width="19.5703125" style="1" customWidth="1"/>
    <col min="46" max="46" width="9.140625" style="12"/>
    <col min="47" max="16384" width="9.140625" style="1"/>
  </cols>
  <sheetData>
    <row r="2" spans="1:46" ht="42.75" customHeight="1" x14ac:dyDescent="0.25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5" customFormat="1" ht="33" customHeight="1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  <c r="AT3" s="13"/>
    </row>
    <row r="4" spans="1:46" ht="22.5" customHeight="1" x14ac:dyDescent="0.25">
      <c r="A4" s="23" t="s">
        <v>34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7"/>
    </row>
    <row r="5" spans="1:46" ht="22.5" customHeight="1" x14ac:dyDescent="0.25">
      <c r="A5" s="24"/>
      <c r="B5" s="16" t="s">
        <v>14</v>
      </c>
      <c r="C5" s="16">
        <v>1.0053562095237492</v>
      </c>
      <c r="D5" s="15">
        <v>76078463</v>
      </c>
      <c r="E5" s="15"/>
      <c r="F5" s="15">
        <v>0.95648855157649448</v>
      </c>
      <c r="G5" s="15">
        <v>67951292</v>
      </c>
      <c r="H5" s="15"/>
      <c r="I5" s="15">
        <v>1.0444452910388811</v>
      </c>
      <c r="J5" s="15">
        <v>79583162</v>
      </c>
      <c r="K5" s="15"/>
      <c r="L5" s="15">
        <v>0.88455973478960004</v>
      </c>
      <c r="M5" s="15">
        <v>69388705</v>
      </c>
      <c r="N5" s="15"/>
      <c r="O5" s="15"/>
      <c r="P5" s="15">
        <v>0.97583776567970892</v>
      </c>
      <c r="Q5" s="15">
        <v>68607629</v>
      </c>
      <c r="R5" s="15"/>
      <c r="S5" s="15"/>
      <c r="T5" s="15">
        <v>0.97617430423435003</v>
      </c>
      <c r="U5" s="15">
        <v>67867423</v>
      </c>
      <c r="V5" s="15"/>
      <c r="W5" s="15"/>
      <c r="X5" s="15">
        <v>1.0069384819997047</v>
      </c>
      <c r="Y5" s="15">
        <v>72678419</v>
      </c>
      <c r="Z5" s="15"/>
      <c r="AA5" s="15"/>
      <c r="AB5" s="15">
        <v>0.98431361222576352</v>
      </c>
      <c r="AC5" s="15">
        <v>71310438</v>
      </c>
      <c r="AD5" s="15"/>
      <c r="AE5" s="15"/>
      <c r="AF5" s="15">
        <v>0.95385253955175975</v>
      </c>
      <c r="AG5" s="15">
        <v>71028390</v>
      </c>
      <c r="AH5" s="15"/>
      <c r="AI5" s="15"/>
      <c r="AJ5" s="15">
        <v>1.1361864341037924</v>
      </c>
      <c r="AK5" s="15">
        <v>77469258</v>
      </c>
      <c r="AL5" s="15"/>
      <c r="AM5" s="15"/>
      <c r="AN5" s="15">
        <v>1.0253784517771605</v>
      </c>
      <c r="AO5" s="15">
        <v>76287952</v>
      </c>
      <c r="AP5" s="15"/>
      <c r="AQ5" s="15"/>
      <c r="AR5" s="15">
        <v>1.0967207488401796</v>
      </c>
      <c r="AS5" s="15">
        <v>80761480</v>
      </c>
    </row>
    <row r="6" spans="1:46" ht="22.5" customHeight="1" x14ac:dyDescent="0.25">
      <c r="A6" s="24"/>
      <c r="B6" s="16" t="s">
        <v>15</v>
      </c>
      <c r="C6" s="16">
        <v>1.1948569430608973</v>
      </c>
      <c r="D6" s="15">
        <v>765301</v>
      </c>
      <c r="E6" s="15"/>
      <c r="F6" s="15">
        <v>0.8394807310070671</v>
      </c>
      <c r="G6" s="15">
        <v>534257</v>
      </c>
      <c r="H6" s="15"/>
      <c r="I6" s="15">
        <v>1.047559385517941</v>
      </c>
      <c r="J6" s="15">
        <v>647508</v>
      </c>
      <c r="K6" s="15"/>
      <c r="L6" s="15">
        <v>0.299647471716119</v>
      </c>
      <c r="M6" s="15">
        <v>259117</v>
      </c>
      <c r="N6" s="15"/>
      <c r="O6" s="15"/>
      <c r="P6" s="15">
        <v>0.35889350423500199</v>
      </c>
      <c r="Q6" s="15">
        <v>337137</v>
      </c>
      <c r="R6" s="15"/>
      <c r="S6" s="15"/>
      <c r="T6" s="15">
        <v>1.9936949033802323</v>
      </c>
      <c r="U6" s="15">
        <v>97703</v>
      </c>
      <c r="V6" s="15"/>
      <c r="W6" s="15"/>
      <c r="X6" s="15">
        <v>0.6862737920937042</v>
      </c>
      <c r="Y6" s="15">
        <v>258495</v>
      </c>
      <c r="Z6" s="15"/>
      <c r="AA6" s="15"/>
      <c r="AB6" s="15">
        <v>1.9429622913222038</v>
      </c>
      <c r="AC6" s="15">
        <v>151815</v>
      </c>
      <c r="AD6" s="15"/>
      <c r="AE6" s="15"/>
      <c r="AF6" s="15">
        <v>0.66306693092789726</v>
      </c>
      <c r="AG6" s="15">
        <v>140771</v>
      </c>
      <c r="AH6" s="15"/>
      <c r="AI6" s="15"/>
      <c r="AJ6" s="15">
        <v>2.7636557839914548</v>
      </c>
      <c r="AK6" s="15">
        <v>280071</v>
      </c>
      <c r="AL6" s="15"/>
      <c r="AM6" s="15"/>
      <c r="AN6" s="15">
        <v>0.88142011834319522</v>
      </c>
      <c r="AO6" s="15">
        <v>401581</v>
      </c>
      <c r="AP6" s="15"/>
      <c r="AQ6" s="15"/>
      <c r="AR6" s="15">
        <v>1.9761927422534638</v>
      </c>
      <c r="AS6" s="15">
        <v>716612</v>
      </c>
    </row>
    <row r="7" spans="1:46" ht="22.5" customHeight="1" x14ac:dyDescent="0.25">
      <c r="A7" s="24"/>
      <c r="B7" s="16" t="s">
        <v>16</v>
      </c>
      <c r="C7" s="16">
        <v>0.78000114573614632</v>
      </c>
      <c r="D7" s="15">
        <f>2642436+950053.14</f>
        <v>3592489.14</v>
      </c>
      <c r="E7" s="15"/>
      <c r="F7" s="15">
        <v>1.1879471483568314</v>
      </c>
      <c r="G7" s="15">
        <f>2763429+758312.81</f>
        <v>3521741.81</v>
      </c>
      <c r="H7" s="15"/>
      <c r="I7" s="15">
        <v>0.95328817402101862</v>
      </c>
      <c r="J7" s="15">
        <f>2692394+827373.43</f>
        <v>3519767.43</v>
      </c>
      <c r="K7" s="15"/>
      <c r="L7" s="15">
        <v>0.83503038995399326</v>
      </c>
      <c r="M7" s="15">
        <f>2173067+712328.81</f>
        <v>2885395.81</v>
      </c>
      <c r="N7" s="15"/>
      <c r="O7" s="15"/>
      <c r="P7" s="15">
        <v>0.83613250644178561</v>
      </c>
      <c r="Q7" s="15">
        <f>1934568+724124.3</f>
        <v>2658692.2999999998</v>
      </c>
      <c r="R7" s="15"/>
      <c r="S7" s="15"/>
      <c r="T7" s="15">
        <v>1.0305154839995669</v>
      </c>
      <c r="U7" s="15">
        <f>1902741+711028.73</f>
        <v>2613769.73</v>
      </c>
      <c r="V7" s="15"/>
      <c r="W7" s="15"/>
      <c r="X7" s="15">
        <v>1.1439143415985318</v>
      </c>
      <c r="Y7" s="15">
        <f>1951751+802676.96</f>
        <v>2754427.96</v>
      </c>
      <c r="Z7" s="15"/>
      <c r="AA7" s="15"/>
      <c r="AB7" s="15">
        <v>0.91782416951724688</v>
      </c>
      <c r="AC7" s="15">
        <f>2121774+861251.18</f>
        <v>2983025.18</v>
      </c>
      <c r="AD7" s="15"/>
      <c r="AE7" s="15"/>
      <c r="AF7" s="15">
        <v>0.94229825039506121</v>
      </c>
      <c r="AG7" s="15">
        <f>2060846+690737.96</f>
        <v>2751583.96</v>
      </c>
      <c r="AH7" s="15"/>
      <c r="AI7" s="15"/>
      <c r="AJ7" s="15">
        <v>1.2032382119731839</v>
      </c>
      <c r="AK7" s="15">
        <f>2332650+768392.8</f>
        <v>3101042.8</v>
      </c>
      <c r="AL7" s="15"/>
      <c r="AM7" s="15"/>
      <c r="AN7" s="15">
        <v>1.1826261773040985</v>
      </c>
      <c r="AO7" s="15">
        <f>2804390+768392.8</f>
        <v>3572782.8</v>
      </c>
      <c r="AP7" s="15"/>
      <c r="AQ7" s="15"/>
      <c r="AR7" s="15">
        <v>1.0731811305547434</v>
      </c>
      <c r="AS7" s="15">
        <f>2946247+951636.37</f>
        <v>3897883.37</v>
      </c>
    </row>
    <row r="8" spans="1:46" ht="22.5" customHeight="1" x14ac:dyDescent="0.25">
      <c r="A8" s="24"/>
      <c r="B8" s="16" t="s">
        <v>17</v>
      </c>
      <c r="C8" s="16">
        <v>0.83378566722599934</v>
      </c>
      <c r="D8" s="15">
        <f>1013893+42899.01</f>
        <v>1056792.01</v>
      </c>
      <c r="E8" s="15"/>
      <c r="F8" s="15">
        <v>1.1590844746982911</v>
      </c>
      <c r="G8" s="15">
        <f>965916+43262.14</f>
        <v>1009178.14</v>
      </c>
      <c r="H8" s="15"/>
      <c r="I8" s="15">
        <v>0.9225866102285738</v>
      </c>
      <c r="J8" s="15">
        <f>913977+39479.92</f>
        <v>953456.92</v>
      </c>
      <c r="K8" s="15"/>
      <c r="L8" s="15">
        <v>0.89610151621151324</v>
      </c>
      <c r="M8" s="15">
        <f>804372+37175.64</f>
        <v>841547.64</v>
      </c>
      <c r="N8" s="15"/>
      <c r="O8" s="15"/>
      <c r="P8" s="15">
        <v>0.84311438394536864</v>
      </c>
      <c r="Q8" s="15">
        <f>700793+32587.37</f>
        <v>733380.37</v>
      </c>
      <c r="R8" s="15"/>
      <c r="S8" s="15"/>
      <c r="T8" s="15">
        <v>1.1020309487980999</v>
      </c>
      <c r="U8" s="15">
        <f>667753+37917.89</f>
        <v>705670.89</v>
      </c>
      <c r="V8" s="15"/>
      <c r="W8" s="15"/>
      <c r="X8" s="15">
        <v>1.0778451674826641</v>
      </c>
      <c r="Y8" s="15">
        <f>682251+38727.86</f>
        <v>720978.86</v>
      </c>
      <c r="Z8" s="15"/>
      <c r="AA8" s="15"/>
      <c r="AB8" s="15">
        <v>0.97641286491133383</v>
      </c>
      <c r="AC8" s="15">
        <f>734608+42618.02</f>
        <v>777226.02</v>
      </c>
      <c r="AD8" s="15"/>
      <c r="AE8" s="15"/>
      <c r="AF8" s="15">
        <v>0.93530174327015991</v>
      </c>
      <c r="AG8" s="15">
        <f>706653+38069.79</f>
        <v>744722.79</v>
      </c>
      <c r="AH8" s="15"/>
      <c r="AI8" s="15"/>
      <c r="AJ8" s="15">
        <v>1.1016752068938731</v>
      </c>
      <c r="AK8" s="15">
        <f>783950+33771.7</f>
        <v>817721.7</v>
      </c>
      <c r="AL8" s="15"/>
      <c r="AM8" s="15"/>
      <c r="AN8" s="15">
        <v>1.1069607102156327</v>
      </c>
      <c r="AO8" s="15">
        <f>914183+33771.7</f>
        <v>947954.7</v>
      </c>
      <c r="AP8" s="15"/>
      <c r="AQ8" s="15"/>
      <c r="AR8" s="15">
        <v>0.98631310377001224</v>
      </c>
      <c r="AS8" s="15">
        <f>937804+44583.53</f>
        <v>982387.53</v>
      </c>
    </row>
    <row r="9" spans="1:46" ht="22.5" customHeight="1" x14ac:dyDescent="0.25">
      <c r="A9" s="24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30"/>
    </row>
    <row r="10" spans="1:46" ht="22.5" customHeight="1" x14ac:dyDescent="0.25">
      <c r="A10" s="24"/>
      <c r="B10" s="17"/>
      <c r="C10" s="17">
        <v>1.0243446865925878</v>
      </c>
      <c r="D10" s="15">
        <f>2830687+8606.85</f>
        <v>2839293.85</v>
      </c>
      <c r="E10" s="15"/>
      <c r="F10" s="15">
        <v>0.96512320125864948</v>
      </c>
      <c r="G10" s="15">
        <f>2409560+6572.05</f>
        <v>2416132.0499999998</v>
      </c>
      <c r="H10" s="15"/>
      <c r="I10" s="15">
        <v>0.94426421678863615</v>
      </c>
      <c r="J10" s="15">
        <f>2373148+7456.65</f>
        <v>2380604.65</v>
      </c>
      <c r="K10" s="15"/>
      <c r="L10" s="15">
        <v>0.89092303048103916</v>
      </c>
      <c r="M10" s="15">
        <f>2327097+7744.55</f>
        <v>2334841.5499999998</v>
      </c>
      <c r="N10" s="15"/>
      <c r="O10" s="15"/>
      <c r="P10" s="15">
        <v>1.1737202044633261</v>
      </c>
      <c r="Q10" s="15">
        <f>2528626+5280.33</f>
        <v>2533906.33</v>
      </c>
      <c r="R10" s="15"/>
      <c r="S10" s="15"/>
      <c r="T10" s="15">
        <v>0.90644557029857209</v>
      </c>
      <c r="U10" s="15">
        <f>2393465+5234.38</f>
        <v>2398699.38</v>
      </c>
      <c r="V10" s="15"/>
      <c r="W10" s="15"/>
      <c r="X10" s="15">
        <v>1.1088756581284982</v>
      </c>
      <c r="Y10" s="15">
        <f>2361795+4658.18</f>
        <v>2366453.1800000002</v>
      </c>
      <c r="Z10" s="15"/>
      <c r="AA10" s="15"/>
      <c r="AB10" s="15">
        <v>1.0107828050697576</v>
      </c>
      <c r="AC10" s="15">
        <f>2526267+6056.8</f>
        <v>2532323.7999999998</v>
      </c>
      <c r="AD10" s="15"/>
      <c r="AE10" s="15"/>
      <c r="AF10" s="15">
        <v>0.94061940514867293</v>
      </c>
      <c r="AG10" s="15">
        <f>2483739+5420.25</f>
        <v>2489159.25</v>
      </c>
      <c r="AH10" s="15"/>
      <c r="AI10" s="15"/>
      <c r="AJ10" s="15">
        <v>0.9877597080688626</v>
      </c>
      <c r="AK10" s="15">
        <f>2435783+5482.5</f>
        <v>2441265.5</v>
      </c>
      <c r="AL10" s="15"/>
      <c r="AM10" s="15"/>
      <c r="AN10" s="15">
        <v>1.0720712986869618</v>
      </c>
      <c r="AO10" s="15">
        <f>2517185+5482.5</f>
        <v>2522667.5</v>
      </c>
      <c r="AP10" s="15"/>
      <c r="AQ10" s="15"/>
      <c r="AR10" s="15">
        <v>0.93318416671196225</v>
      </c>
      <c r="AS10" s="15">
        <f>2459982+11129.1</f>
        <v>2471111.1</v>
      </c>
    </row>
    <row r="11" spans="1:46" ht="22.5" customHeight="1" x14ac:dyDescent="0.25">
      <c r="A11" s="20" t="s">
        <v>18</v>
      </c>
      <c r="B11" s="21"/>
      <c r="C11" s="18"/>
      <c r="D11" s="9">
        <f t="shared" ref="D11:AS11" si="0">SUM(D5:D8,D10)</f>
        <v>84332339</v>
      </c>
      <c r="E11" s="9"/>
      <c r="F11" s="9"/>
      <c r="G11" s="9">
        <f t="shared" si="0"/>
        <v>75432601</v>
      </c>
      <c r="H11" s="9"/>
      <c r="I11" s="9"/>
      <c r="J11" s="9">
        <f t="shared" si="0"/>
        <v>87084499.000000015</v>
      </c>
      <c r="K11" s="9"/>
      <c r="L11" s="9"/>
      <c r="M11" s="9">
        <f t="shared" si="0"/>
        <v>75709607</v>
      </c>
      <c r="N11" s="9"/>
      <c r="O11" s="9"/>
      <c r="P11" s="9"/>
      <c r="Q11" s="9">
        <f t="shared" si="0"/>
        <v>74870745</v>
      </c>
      <c r="R11" s="9"/>
      <c r="S11" s="9"/>
      <c r="T11" s="9"/>
      <c r="U11" s="9">
        <f t="shared" si="0"/>
        <v>73683266</v>
      </c>
      <c r="V11" s="9"/>
      <c r="W11" s="9"/>
      <c r="X11" s="9"/>
      <c r="Y11" s="9">
        <f t="shared" si="0"/>
        <v>78778774</v>
      </c>
      <c r="Z11" s="9"/>
      <c r="AA11" s="9"/>
      <c r="AB11" s="9"/>
      <c r="AC11" s="9">
        <f t="shared" si="0"/>
        <v>77754828</v>
      </c>
      <c r="AD11" s="9"/>
      <c r="AE11" s="9"/>
      <c r="AF11" s="9"/>
      <c r="AG11" s="9">
        <f t="shared" si="0"/>
        <v>77154627</v>
      </c>
      <c r="AH11" s="9"/>
      <c r="AI11" s="9"/>
      <c r="AJ11" s="9"/>
      <c r="AK11" s="9">
        <f t="shared" si="0"/>
        <v>84109359</v>
      </c>
      <c r="AL11" s="9"/>
      <c r="AM11" s="9"/>
      <c r="AN11" s="9"/>
      <c r="AO11" s="9">
        <f t="shared" si="0"/>
        <v>83732938</v>
      </c>
      <c r="AP11" s="9"/>
      <c r="AQ11" s="9"/>
      <c r="AR11" s="9"/>
      <c r="AS11" s="9">
        <f t="shared" si="0"/>
        <v>88829474</v>
      </c>
    </row>
    <row r="12" spans="1:46" s="10" customFormat="1" ht="22.5" customHeight="1" x14ac:dyDescent="0.2">
      <c r="A12" s="20" t="s">
        <v>20</v>
      </c>
      <c r="B12" s="21"/>
      <c r="C12" s="18"/>
      <c r="D12" s="9">
        <f>D11</f>
        <v>84332339</v>
      </c>
      <c r="E12" s="9"/>
      <c r="F12" s="9"/>
      <c r="G12" s="9">
        <f t="shared" ref="G12:AS12" si="1">G11</f>
        <v>75432601</v>
      </c>
      <c r="H12" s="9"/>
      <c r="I12" s="9"/>
      <c r="J12" s="9">
        <f t="shared" si="1"/>
        <v>87084499.000000015</v>
      </c>
      <c r="K12" s="9"/>
      <c r="L12" s="9"/>
      <c r="M12" s="9">
        <f t="shared" si="1"/>
        <v>75709607</v>
      </c>
      <c r="N12" s="9"/>
      <c r="O12" s="9"/>
      <c r="P12" s="9"/>
      <c r="Q12" s="9">
        <f t="shared" si="1"/>
        <v>74870745</v>
      </c>
      <c r="R12" s="9"/>
      <c r="S12" s="9"/>
      <c r="T12" s="9"/>
      <c r="U12" s="9">
        <f t="shared" si="1"/>
        <v>73683266</v>
      </c>
      <c r="V12" s="9"/>
      <c r="W12" s="9"/>
      <c r="X12" s="9"/>
      <c r="Y12" s="9">
        <f t="shared" si="1"/>
        <v>78778774</v>
      </c>
      <c r="Z12" s="9"/>
      <c r="AA12" s="9"/>
      <c r="AB12" s="9"/>
      <c r="AC12" s="9">
        <f t="shared" si="1"/>
        <v>77754828</v>
      </c>
      <c r="AD12" s="9"/>
      <c r="AE12" s="9"/>
      <c r="AF12" s="9"/>
      <c r="AG12" s="9">
        <f t="shared" si="1"/>
        <v>77154627</v>
      </c>
      <c r="AH12" s="9"/>
      <c r="AI12" s="9"/>
      <c r="AJ12" s="9"/>
      <c r="AK12" s="9">
        <f t="shared" si="1"/>
        <v>84109359</v>
      </c>
      <c r="AL12" s="9"/>
      <c r="AM12" s="9"/>
      <c r="AN12" s="9"/>
      <c r="AO12" s="9">
        <f t="shared" si="1"/>
        <v>83732938</v>
      </c>
      <c r="AP12" s="9"/>
      <c r="AQ12" s="9"/>
      <c r="AR12" s="9"/>
      <c r="AS12" s="9">
        <f t="shared" si="1"/>
        <v>88829474</v>
      </c>
      <c r="AT12" s="14"/>
    </row>
    <row r="15" spans="1:46" ht="22.5" customHeight="1" x14ac:dyDescent="0.25">
      <c r="AS15" s="19"/>
    </row>
  </sheetData>
  <mergeCells count="6">
    <mergeCell ref="A12:B12"/>
    <mergeCell ref="A2:AS2"/>
    <mergeCell ref="A4:A10"/>
    <mergeCell ref="B4:AS4"/>
    <mergeCell ref="B9:AS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5703125" style="1" customWidth="1"/>
    <col min="15" max="16384" width="9.140625" style="1"/>
  </cols>
  <sheetData>
    <row r="2" spans="1:14" ht="42.75" customHeight="1" x14ac:dyDescent="0.25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34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16" t="s">
        <v>14</v>
      </c>
      <c r="C5" s="15">
        <v>83979348</v>
      </c>
      <c r="D5" s="15">
        <v>70629655</v>
      </c>
      <c r="E5" s="15">
        <v>75853333</v>
      </c>
      <c r="F5" s="15">
        <v>68953667</v>
      </c>
      <c r="G5" s="15">
        <v>68209728</v>
      </c>
      <c r="H5" s="15">
        <v>67739682</v>
      </c>
      <c r="I5" s="15">
        <v>70940177</v>
      </c>
      <c r="J5" s="15">
        <v>71357759</v>
      </c>
      <c r="K5" s="15">
        <v>66923214</v>
      </c>
      <c r="L5" s="15">
        <v>73313903</v>
      </c>
      <c r="M5" s="15">
        <v>73276163</v>
      </c>
      <c r="N5" s="15">
        <v>82067395</v>
      </c>
    </row>
    <row r="6" spans="1:14" ht="22.5" customHeight="1" x14ac:dyDescent="0.25">
      <c r="A6" s="24"/>
      <c r="B6" s="16" t="s">
        <v>15</v>
      </c>
      <c r="C6" s="15">
        <v>760580</v>
      </c>
      <c r="D6" s="15">
        <v>603569</v>
      </c>
      <c r="E6" s="15">
        <v>466636</v>
      </c>
      <c r="F6" s="15">
        <v>171187</v>
      </c>
      <c r="G6" s="15">
        <v>49610</v>
      </c>
      <c r="H6" s="15">
        <v>102151</v>
      </c>
      <c r="I6" s="15">
        <v>155903</v>
      </c>
      <c r="J6" s="15">
        <v>144639</v>
      </c>
      <c r="K6" s="15">
        <v>162443</v>
      </c>
      <c r="L6" s="15">
        <v>387896</v>
      </c>
      <c r="M6" s="15">
        <v>442043</v>
      </c>
      <c r="N6" s="15">
        <v>607695</v>
      </c>
    </row>
    <row r="7" spans="1:14" ht="22.5" customHeight="1" x14ac:dyDescent="0.25">
      <c r="A7" s="24"/>
      <c r="B7" s="16" t="s">
        <v>16</v>
      </c>
      <c r="C7" s="15">
        <f>3006005+740511</f>
        <v>3746516</v>
      </c>
      <c r="D7" s="15">
        <f>2972415+560462</f>
        <v>3532877</v>
      </c>
      <c r="E7" s="15">
        <f>2495218+605016</f>
        <v>3100234</v>
      </c>
      <c r="F7" s="15">
        <f>2040080+563593</f>
        <v>2603673</v>
      </c>
      <c r="G7" s="15">
        <v>2559680</v>
      </c>
      <c r="H7" s="15">
        <f>1750696+523802</f>
        <v>2274498</v>
      </c>
      <c r="I7" s="15">
        <f>1844276+611816</f>
        <v>2456092</v>
      </c>
      <c r="J7" s="15">
        <f>1827908+671287</f>
        <v>2499195</v>
      </c>
      <c r="K7" s="15">
        <f>1799946+530959</f>
        <v>2330905</v>
      </c>
      <c r="L7" s="15">
        <f>2284756+617469</f>
        <v>2902225</v>
      </c>
      <c r="M7" s="15">
        <f>2826819+588219</f>
        <v>3415038</v>
      </c>
      <c r="N7" s="15">
        <f>3217554+739840</f>
        <v>3957394</v>
      </c>
    </row>
    <row r="8" spans="1:14" ht="22.5" customHeight="1" x14ac:dyDescent="0.25">
      <c r="A8" s="24"/>
      <c r="B8" s="16" t="s">
        <v>17</v>
      </c>
      <c r="C8" s="15">
        <f>1004903+239815</f>
        <v>1244718</v>
      </c>
      <c r="D8" s="15">
        <f>951583+204625</f>
        <v>1156208</v>
      </c>
      <c r="E8" s="15">
        <f>851134+170348</f>
        <v>1021482</v>
      </c>
      <c r="F8" s="15">
        <f>714409+160901</f>
        <v>875310</v>
      </c>
      <c r="G8" s="15">
        <v>842238</v>
      </c>
      <c r="H8" s="15">
        <f>622471+187167</f>
        <v>809638</v>
      </c>
      <c r="I8" s="15">
        <f>650907+192055</f>
        <v>842962</v>
      </c>
      <c r="J8" s="15">
        <f>671457+198590</f>
        <v>870047</v>
      </c>
      <c r="K8" s="15">
        <f>605564+173689</f>
        <v>779253</v>
      </c>
      <c r="L8" s="15">
        <f>724111+165411</f>
        <v>889522</v>
      </c>
      <c r="M8" s="15">
        <f>829396+191321</f>
        <v>1020717</v>
      </c>
      <c r="N8" s="15">
        <f>896899+195993</f>
        <v>1092892</v>
      </c>
    </row>
    <row r="9" spans="1:14" ht="22.5" customHeight="1" x14ac:dyDescent="0.25">
      <c r="A9" s="24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4"/>
      <c r="B10" s="17"/>
      <c r="C10" s="15">
        <f>2817363+12306</f>
        <v>2829669</v>
      </c>
      <c r="D10" s="15">
        <f>2532607+12541</f>
        <v>2545148</v>
      </c>
      <c r="E10" s="15">
        <f>2376766+9008</f>
        <v>2385774</v>
      </c>
      <c r="F10" s="15">
        <f>2382402+8207</f>
        <v>2390609</v>
      </c>
      <c r="G10" s="15">
        <v>2263048</v>
      </c>
      <c r="H10" s="15">
        <f>2357391+6317</f>
        <v>2363708</v>
      </c>
      <c r="I10" s="15">
        <f>2343287+5546</f>
        <v>2348833</v>
      </c>
      <c r="J10" s="15">
        <f>2611224+5917</f>
        <v>2617141</v>
      </c>
      <c r="K10" s="15">
        <f>2345990+6241</f>
        <v>2352231</v>
      </c>
      <c r="L10" s="15">
        <f>2501188+7794</f>
        <v>2508982</v>
      </c>
      <c r="M10" s="15">
        <f>2433092+2159+6609</f>
        <v>2441860</v>
      </c>
      <c r="N10" s="15">
        <f>2625037+11241</f>
        <v>2636278</v>
      </c>
    </row>
    <row r="11" spans="1:14" ht="22.5" customHeight="1" x14ac:dyDescent="0.25">
      <c r="A11" s="20" t="s">
        <v>18</v>
      </c>
      <c r="B11" s="21"/>
      <c r="C11" s="9">
        <f t="shared" ref="C11:N11" si="0">SUM(C5:C8,C10)</f>
        <v>92560831</v>
      </c>
      <c r="D11" s="9">
        <f>SUM(D5:D8,D10)</f>
        <v>78467457</v>
      </c>
      <c r="E11" s="9">
        <f t="shared" si="0"/>
        <v>82827459</v>
      </c>
      <c r="F11" s="9">
        <f t="shared" si="0"/>
        <v>74994446</v>
      </c>
      <c r="G11" s="9">
        <f t="shared" si="0"/>
        <v>73924304</v>
      </c>
      <c r="H11" s="9">
        <f t="shared" si="0"/>
        <v>73289677</v>
      </c>
      <c r="I11" s="9">
        <f t="shared" si="0"/>
        <v>76743967</v>
      </c>
      <c r="J11" s="9">
        <f t="shared" si="0"/>
        <v>77488781</v>
      </c>
      <c r="K11" s="9">
        <f t="shared" si="0"/>
        <v>72548046</v>
      </c>
      <c r="L11" s="9">
        <f t="shared" si="0"/>
        <v>80002528</v>
      </c>
      <c r="M11" s="9">
        <f t="shared" si="0"/>
        <v>80595821</v>
      </c>
      <c r="N11" s="9">
        <f t="shared" si="0"/>
        <v>90361654</v>
      </c>
    </row>
    <row r="12" spans="1:14" s="10" customFormat="1" ht="22.5" customHeight="1" x14ac:dyDescent="0.2">
      <c r="A12" s="20" t="s">
        <v>20</v>
      </c>
      <c r="B12" s="21"/>
      <c r="C12" s="9">
        <f>C11</f>
        <v>92560831</v>
      </c>
      <c r="D12" s="9">
        <f>D11</f>
        <v>78467457</v>
      </c>
      <c r="E12" s="9">
        <f t="shared" ref="E12:N12" si="1">E11</f>
        <v>82827459</v>
      </c>
      <c r="F12" s="9">
        <f t="shared" si="1"/>
        <v>74994446</v>
      </c>
      <c r="G12" s="9">
        <f t="shared" si="1"/>
        <v>73924304</v>
      </c>
      <c r="H12" s="9">
        <f t="shared" si="1"/>
        <v>73289677</v>
      </c>
      <c r="I12" s="9">
        <f t="shared" si="1"/>
        <v>76743967</v>
      </c>
      <c r="J12" s="9">
        <f t="shared" si="1"/>
        <v>77488781</v>
      </c>
      <c r="K12" s="9">
        <f t="shared" si="1"/>
        <v>72548046</v>
      </c>
      <c r="L12" s="9">
        <f t="shared" si="1"/>
        <v>80002528</v>
      </c>
      <c r="M12" s="9">
        <f t="shared" si="1"/>
        <v>80595821</v>
      </c>
      <c r="N12" s="9">
        <f t="shared" si="1"/>
        <v>90361654</v>
      </c>
    </row>
    <row r="15" spans="1:14" ht="22.5" customHeight="1" x14ac:dyDescent="0.25">
      <c r="N15" s="19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5703125" style="1" customWidth="1"/>
    <col min="15" max="16384" width="9.140625" style="1"/>
  </cols>
  <sheetData>
    <row r="2" spans="1:14" ht="42.75" customHeight="1" x14ac:dyDescent="0.25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34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16" t="s">
        <v>14</v>
      </c>
      <c r="C5" s="15">
        <v>78223201</v>
      </c>
      <c r="D5" s="15">
        <v>68718505</v>
      </c>
      <c r="E5" s="15">
        <v>68645007</v>
      </c>
      <c r="F5" s="15">
        <v>62962354</v>
      </c>
      <c r="G5" s="15">
        <v>64968245</v>
      </c>
      <c r="H5" s="15">
        <v>63925260</v>
      </c>
      <c r="I5" s="15">
        <v>67561562</v>
      </c>
      <c r="J5" s="15">
        <v>66339701</v>
      </c>
      <c r="K5" s="15">
        <v>60289486</v>
      </c>
      <c r="L5" s="15">
        <v>66201202</v>
      </c>
      <c r="M5" s="15">
        <v>70460164</v>
      </c>
      <c r="N5" s="15">
        <v>80172737</v>
      </c>
    </row>
    <row r="6" spans="1:14" ht="22.5" customHeight="1" x14ac:dyDescent="0.25">
      <c r="A6" s="24"/>
      <c r="B6" s="16" t="s">
        <v>15</v>
      </c>
      <c r="C6" s="15">
        <v>722251</v>
      </c>
      <c r="D6" s="15">
        <v>600443</v>
      </c>
      <c r="E6" s="15">
        <v>512621</v>
      </c>
      <c r="F6" s="15">
        <v>132094</v>
      </c>
      <c r="G6" s="15">
        <v>181628</v>
      </c>
      <c r="H6" s="15">
        <v>104344</v>
      </c>
      <c r="I6" s="15">
        <v>105333</v>
      </c>
      <c r="J6" s="15">
        <v>152867</v>
      </c>
      <c r="K6" s="15">
        <v>140866</v>
      </c>
      <c r="L6" s="15">
        <v>280728</v>
      </c>
      <c r="M6" s="15">
        <v>397919</v>
      </c>
      <c r="N6" s="15">
        <v>464533</v>
      </c>
    </row>
    <row r="7" spans="1:14" ht="22.5" customHeight="1" x14ac:dyDescent="0.25">
      <c r="A7" s="24"/>
      <c r="B7" s="16" t="s">
        <v>16</v>
      </c>
      <c r="C7" s="15">
        <f>2982946+761916</f>
        <v>3744862</v>
      </c>
      <c r="D7" s="15">
        <f>2983218+689192</f>
        <v>3672410</v>
      </c>
      <c r="E7" s="15">
        <f>2717442+702323</f>
        <v>3419765</v>
      </c>
      <c r="F7" s="15">
        <f>2203520+506012</f>
        <v>2709532</v>
      </c>
      <c r="G7" s="15">
        <f>1858809+560914</f>
        <v>2419723</v>
      </c>
      <c r="H7" s="15">
        <f>1842339+672766</f>
        <v>2515105</v>
      </c>
      <c r="I7" s="15">
        <f>1948364+699351</f>
        <v>2647715</v>
      </c>
      <c r="J7" s="15">
        <f>1738992+608910</f>
        <v>2347902</v>
      </c>
      <c r="K7" s="15">
        <f>1967548+532575</f>
        <v>2500123</v>
      </c>
      <c r="L7" s="15">
        <f>2283401+628003</f>
        <v>2911404</v>
      </c>
      <c r="M7" s="15">
        <f>2895376+701749</f>
        <v>3597125</v>
      </c>
      <c r="N7" s="15">
        <f>3168371+707341</f>
        <v>3875712</v>
      </c>
    </row>
    <row r="8" spans="1:14" ht="22.5" customHeight="1" x14ac:dyDescent="0.25">
      <c r="A8" s="24"/>
      <c r="B8" s="16" t="s">
        <v>17</v>
      </c>
      <c r="C8" s="15">
        <f>925917+221348</f>
        <v>1147265</v>
      </c>
      <c r="D8" s="15">
        <f>907897+213560</f>
        <v>1121457</v>
      </c>
      <c r="E8" s="15">
        <f>819448+176412</f>
        <v>995860</v>
      </c>
      <c r="F8" s="15">
        <f>766425+157215</f>
        <v>923640</v>
      </c>
      <c r="G8" s="15">
        <f>641339+152867</f>
        <v>794206</v>
      </c>
      <c r="H8" s="15">
        <f>658754+41016</f>
        <v>699770</v>
      </c>
      <c r="I8" s="15">
        <f>687601+187196</f>
        <v>874797</v>
      </c>
      <c r="J8" s="15">
        <f>617176+182760</f>
        <v>799936</v>
      </c>
      <c r="K8" s="15">
        <f>646847+177983</f>
        <v>824830</v>
      </c>
      <c r="L8" s="15">
        <f>729478+159255</f>
        <v>888733</v>
      </c>
      <c r="M8" s="15">
        <f>812459+187963</f>
        <v>1000422</v>
      </c>
      <c r="N8" s="15">
        <f>843549+172749</f>
        <v>1016298</v>
      </c>
    </row>
    <row r="9" spans="1:14" ht="22.5" customHeight="1" x14ac:dyDescent="0.25">
      <c r="A9" s="24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22.5" customHeight="1" x14ac:dyDescent="0.25">
      <c r="A10" s="24"/>
      <c r="B10" s="17"/>
      <c r="C10" s="15">
        <f>2882670+11052</f>
        <v>2893722</v>
      </c>
      <c r="D10" s="15">
        <f>2662229+10601</f>
        <v>2672830</v>
      </c>
      <c r="E10" s="15">
        <f>2694495+11401</f>
        <v>2705896</v>
      </c>
      <c r="F10" s="15">
        <f>2451166+6873</f>
        <v>2458039</v>
      </c>
      <c r="G10" s="15">
        <f>2752746+4950</f>
        <v>2757696</v>
      </c>
      <c r="H10" s="15">
        <f>2522300+4950</f>
        <v>2527250</v>
      </c>
      <c r="I10" s="15">
        <f>2606613+4086</f>
        <v>2610699</v>
      </c>
      <c r="J10" s="15">
        <f>2361205+4496</f>
        <v>2365701</v>
      </c>
      <c r="K10" s="15">
        <f>2285762+4873</f>
        <v>2290635</v>
      </c>
      <c r="L10" s="15">
        <f>2437960+6459</f>
        <v>2444419</v>
      </c>
      <c r="M10" s="15">
        <f>2513045+12752</f>
        <v>2525797</v>
      </c>
      <c r="N10" s="15">
        <f>2601629+14309</f>
        <v>2615938</v>
      </c>
    </row>
    <row r="11" spans="1:14" ht="22.5" customHeight="1" x14ac:dyDescent="0.25">
      <c r="A11" s="20" t="s">
        <v>18</v>
      </c>
      <c r="B11" s="21"/>
      <c r="C11" s="9">
        <f t="shared" ref="C11:N11" si="0">SUM(C5:C8,C10)</f>
        <v>86731301</v>
      </c>
      <c r="D11" s="9">
        <f>SUM(D5:D8,D10)</f>
        <v>76785645</v>
      </c>
      <c r="E11" s="9">
        <f t="shared" si="0"/>
        <v>76279149</v>
      </c>
      <c r="F11" s="9">
        <f t="shared" si="0"/>
        <v>69185659</v>
      </c>
      <c r="G11" s="9">
        <f t="shared" si="0"/>
        <v>71121498</v>
      </c>
      <c r="H11" s="9">
        <f t="shared" si="0"/>
        <v>69771729</v>
      </c>
      <c r="I11" s="9">
        <f t="shared" si="0"/>
        <v>73800106</v>
      </c>
      <c r="J11" s="9">
        <f t="shared" si="0"/>
        <v>72006107</v>
      </c>
      <c r="K11" s="9">
        <f t="shared" si="0"/>
        <v>66045940</v>
      </c>
      <c r="L11" s="9">
        <f t="shared" si="0"/>
        <v>72726486</v>
      </c>
      <c r="M11" s="9">
        <f t="shared" si="0"/>
        <v>77981427</v>
      </c>
      <c r="N11" s="9">
        <f t="shared" si="0"/>
        <v>88145218</v>
      </c>
    </row>
    <row r="12" spans="1:14" s="10" customFormat="1" ht="22.5" customHeight="1" x14ac:dyDescent="0.2">
      <c r="A12" s="20" t="s">
        <v>20</v>
      </c>
      <c r="B12" s="21"/>
      <c r="C12" s="9">
        <f>C11</f>
        <v>86731301</v>
      </c>
      <c r="D12" s="9">
        <f>D11</f>
        <v>76785645</v>
      </c>
      <c r="E12" s="9">
        <f t="shared" ref="E12:N12" si="1">E11</f>
        <v>76279149</v>
      </c>
      <c r="F12" s="9">
        <f t="shared" si="1"/>
        <v>69185659</v>
      </c>
      <c r="G12" s="9">
        <f t="shared" si="1"/>
        <v>71121498</v>
      </c>
      <c r="H12" s="9">
        <f t="shared" si="1"/>
        <v>69771729</v>
      </c>
      <c r="I12" s="9">
        <f t="shared" si="1"/>
        <v>73800106</v>
      </c>
      <c r="J12" s="9">
        <f t="shared" si="1"/>
        <v>72006107</v>
      </c>
      <c r="K12" s="9">
        <f t="shared" si="1"/>
        <v>66045940</v>
      </c>
      <c r="L12" s="9">
        <f t="shared" si="1"/>
        <v>72726486</v>
      </c>
      <c r="M12" s="9">
        <f t="shared" si="1"/>
        <v>77981427</v>
      </c>
      <c r="N12" s="9">
        <f t="shared" si="1"/>
        <v>88145218</v>
      </c>
    </row>
    <row r="15" spans="1:14" ht="22.5" customHeight="1" x14ac:dyDescent="0.25">
      <c r="N15" s="19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B10" sqref="A10:XFD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24"/>
      <c r="B6" s="6" t="s">
        <v>14</v>
      </c>
      <c r="C6" s="7">
        <v>68816555</v>
      </c>
      <c r="D6" s="7">
        <v>63121368</v>
      </c>
      <c r="E6" s="7">
        <v>69387167</v>
      </c>
      <c r="F6" s="7">
        <v>57873678</v>
      </c>
      <c r="G6" s="7">
        <v>53790914</v>
      </c>
      <c r="H6" s="7">
        <v>55208446</v>
      </c>
      <c r="I6" s="7">
        <v>58412551</v>
      </c>
      <c r="J6" s="7">
        <v>58485902</v>
      </c>
      <c r="K6" s="7">
        <v>57593650</v>
      </c>
      <c r="L6" s="7">
        <v>64224336</v>
      </c>
      <c r="M6" s="7">
        <v>68013682</v>
      </c>
      <c r="N6" s="7">
        <v>74884407</v>
      </c>
    </row>
    <row r="7" spans="1:14" ht="22.5" customHeight="1" x14ac:dyDescent="0.25">
      <c r="A7" s="24"/>
      <c r="B7" s="6" t="s">
        <v>15</v>
      </c>
      <c r="C7" s="7">
        <v>762880</v>
      </c>
      <c r="D7" s="7">
        <v>656326</v>
      </c>
      <c r="E7" s="7">
        <v>510083</v>
      </c>
      <c r="F7" s="7">
        <v>334231</v>
      </c>
      <c r="G7" s="7">
        <v>150761</v>
      </c>
      <c r="H7" s="7">
        <v>88486</v>
      </c>
      <c r="I7" s="7">
        <v>146377</v>
      </c>
      <c r="J7" s="7">
        <v>125079</v>
      </c>
      <c r="K7" s="7">
        <v>141744</v>
      </c>
      <c r="L7" s="7">
        <v>492144</v>
      </c>
      <c r="M7" s="7">
        <v>607655</v>
      </c>
      <c r="N7" s="7">
        <v>793125</v>
      </c>
    </row>
    <row r="8" spans="1:14" ht="22.5" customHeight="1" x14ac:dyDescent="0.25">
      <c r="A8" s="24"/>
      <c r="B8" s="6" t="s">
        <v>16</v>
      </c>
      <c r="C8" s="7">
        <v>2415726</v>
      </c>
      <c r="D8" s="7">
        <v>2614250</v>
      </c>
      <c r="E8" s="7">
        <v>2341157</v>
      </c>
      <c r="F8" s="7">
        <v>1932510</v>
      </c>
      <c r="G8" s="7">
        <v>1321163</v>
      </c>
      <c r="H8" s="7">
        <v>1277947</v>
      </c>
      <c r="I8" s="7">
        <v>1286593</v>
      </c>
      <c r="J8" s="7">
        <v>1229044</v>
      </c>
      <c r="K8" s="7">
        <v>1310519</v>
      </c>
      <c r="L8" s="7">
        <v>1812252</v>
      </c>
      <c r="M8" s="7">
        <v>2252871</v>
      </c>
      <c r="N8" s="7">
        <v>2611464</v>
      </c>
    </row>
    <row r="9" spans="1:14" ht="22.5" customHeight="1" x14ac:dyDescent="0.25">
      <c r="A9" s="24"/>
      <c r="B9" s="6" t="s">
        <v>17</v>
      </c>
      <c r="C9" s="7">
        <v>2546592</v>
      </c>
      <c r="D9" s="7">
        <v>2474421</v>
      </c>
      <c r="E9" s="7">
        <v>2099606</v>
      </c>
      <c r="F9" s="7">
        <v>1960565</v>
      </c>
      <c r="G9" s="7">
        <v>1574050</v>
      </c>
      <c r="H9" s="7">
        <v>1460687</v>
      </c>
      <c r="I9" s="7">
        <v>1485378</v>
      </c>
      <c r="J9" s="7">
        <v>1508887</v>
      </c>
      <c r="K9" s="7">
        <v>1534537</v>
      </c>
      <c r="L9" s="7">
        <v>1922382</v>
      </c>
      <c r="M9" s="7">
        <v>2229531</v>
      </c>
      <c r="N9" s="7">
        <v>2395247</v>
      </c>
    </row>
    <row r="10" spans="1:14" ht="22.5" customHeight="1" x14ac:dyDescent="0.25">
      <c r="A10" s="24"/>
      <c r="B10" s="25" t="s">
        <v>22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22.5" customHeight="1" x14ac:dyDescent="0.25">
      <c r="A11" s="24"/>
      <c r="B11" s="8"/>
      <c r="C11" s="7">
        <v>2888196</v>
      </c>
      <c r="D11" s="7">
        <v>2669149</v>
      </c>
      <c r="E11" s="7">
        <v>2260726</v>
      </c>
      <c r="F11" s="7">
        <v>2447546</v>
      </c>
      <c r="G11" s="7">
        <v>2477913</v>
      </c>
      <c r="H11" s="7">
        <v>2356102</v>
      </c>
      <c r="I11" s="7">
        <v>2488156</v>
      </c>
      <c r="J11" s="7">
        <v>2534294</v>
      </c>
      <c r="K11" s="7">
        <v>2501042</v>
      </c>
      <c r="L11" s="7">
        <v>2525053</v>
      </c>
      <c r="M11" s="7">
        <v>2470570</v>
      </c>
      <c r="N11" s="7">
        <v>2432632</v>
      </c>
    </row>
    <row r="12" spans="1:14" ht="22.5" customHeight="1" x14ac:dyDescent="0.25">
      <c r="A12" s="20" t="s">
        <v>18</v>
      </c>
      <c r="B12" s="21"/>
      <c r="C12" s="9">
        <f t="shared" ref="C12:N12" si="0">SUM(C5:C9,C11)</f>
        <v>77429949</v>
      </c>
      <c r="D12" s="9">
        <f t="shared" si="0"/>
        <v>71535514</v>
      </c>
      <c r="E12" s="9">
        <f t="shared" si="0"/>
        <v>76598739</v>
      </c>
      <c r="F12" s="9">
        <f t="shared" si="0"/>
        <v>64548530</v>
      </c>
      <c r="G12" s="9">
        <f t="shared" si="0"/>
        <v>59314801</v>
      </c>
      <c r="H12" s="9">
        <f t="shared" si="0"/>
        <v>60391668</v>
      </c>
      <c r="I12" s="9">
        <f t="shared" si="0"/>
        <v>63819055</v>
      </c>
      <c r="J12" s="9">
        <f t="shared" si="0"/>
        <v>63883206</v>
      </c>
      <c r="K12" s="9">
        <f t="shared" si="0"/>
        <v>63081492</v>
      </c>
      <c r="L12" s="9">
        <f t="shared" si="0"/>
        <v>70976167</v>
      </c>
      <c r="M12" s="9">
        <f t="shared" si="0"/>
        <v>75574309</v>
      </c>
      <c r="N12" s="9">
        <f t="shared" si="0"/>
        <v>83116875</v>
      </c>
    </row>
    <row r="13" spans="1:14" s="10" customFormat="1" ht="22.5" customHeight="1" x14ac:dyDescent="0.2">
      <c r="A13" s="20" t="s">
        <v>20</v>
      </c>
      <c r="B13" s="21"/>
      <c r="C13" s="9">
        <f>C12</f>
        <v>77429949</v>
      </c>
      <c r="D13" s="9">
        <f t="shared" ref="D13:N13" si="1">D12</f>
        <v>71535514</v>
      </c>
      <c r="E13" s="9">
        <f t="shared" si="1"/>
        <v>76598739</v>
      </c>
      <c r="F13" s="9">
        <f t="shared" si="1"/>
        <v>64548530</v>
      </c>
      <c r="G13" s="9">
        <f t="shared" si="1"/>
        <v>59314801</v>
      </c>
      <c r="H13" s="9">
        <f t="shared" si="1"/>
        <v>60391668</v>
      </c>
      <c r="I13" s="9">
        <f t="shared" si="1"/>
        <v>63819055</v>
      </c>
      <c r="J13" s="9">
        <f t="shared" si="1"/>
        <v>63883206</v>
      </c>
      <c r="K13" s="9">
        <f t="shared" si="1"/>
        <v>63081492</v>
      </c>
      <c r="L13" s="9">
        <f t="shared" si="1"/>
        <v>70976167</v>
      </c>
      <c r="M13" s="9">
        <f t="shared" si="1"/>
        <v>75574309</v>
      </c>
      <c r="N13" s="9">
        <f t="shared" si="1"/>
        <v>83116875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24"/>
      <c r="B6" s="6" t="s">
        <v>14</v>
      </c>
      <c r="C6" s="7">
        <v>72893490</v>
      </c>
      <c r="D6" s="7">
        <v>67825795</v>
      </c>
      <c r="E6" s="7">
        <v>72296993</v>
      </c>
      <c r="F6" s="7">
        <v>63363016</v>
      </c>
      <c r="G6" s="7">
        <v>60517719</v>
      </c>
      <c r="H6" s="7">
        <v>58453137</v>
      </c>
      <c r="I6" s="7">
        <v>64298830</v>
      </c>
      <c r="J6" s="7">
        <v>60652016</v>
      </c>
      <c r="K6" s="7">
        <v>57046098</v>
      </c>
      <c r="L6" s="7">
        <v>63994203</v>
      </c>
      <c r="M6" s="7">
        <v>65317342</v>
      </c>
      <c r="N6" s="7">
        <v>71936979</v>
      </c>
    </row>
    <row r="7" spans="1:14" ht="22.5" customHeight="1" x14ac:dyDescent="0.25">
      <c r="A7" s="24"/>
      <c r="B7" s="6" t="s">
        <v>15</v>
      </c>
      <c r="C7" s="7">
        <v>911168</v>
      </c>
      <c r="D7" s="7">
        <v>571530</v>
      </c>
      <c r="E7" s="7">
        <v>386700</v>
      </c>
      <c r="F7" s="7">
        <v>389350</v>
      </c>
      <c r="G7" s="7">
        <v>79794</v>
      </c>
      <c r="H7" s="7">
        <v>76582</v>
      </c>
      <c r="I7" s="7">
        <v>96030</v>
      </c>
      <c r="J7" s="7">
        <v>128985</v>
      </c>
      <c r="K7" s="7">
        <v>86292</v>
      </c>
      <c r="L7" s="7">
        <v>331673</v>
      </c>
      <c r="M7" s="7">
        <v>412269</v>
      </c>
      <c r="N7" s="7">
        <v>685090</v>
      </c>
    </row>
    <row r="8" spans="1:14" ht="22.5" customHeight="1" x14ac:dyDescent="0.25">
      <c r="A8" s="24"/>
      <c r="B8" s="6" t="s">
        <v>16</v>
      </c>
      <c r="C8" s="7">
        <v>2609225</v>
      </c>
      <c r="D8" s="7">
        <v>2547433</v>
      </c>
      <c r="E8" s="7">
        <v>2401254</v>
      </c>
      <c r="F8" s="7">
        <v>2031329</v>
      </c>
      <c r="G8" s="7">
        <v>1422335</v>
      </c>
      <c r="H8" s="7">
        <v>1458098</v>
      </c>
      <c r="I8" s="7">
        <v>1406240</v>
      </c>
      <c r="J8" s="7">
        <v>1379815</v>
      </c>
      <c r="K8" s="7">
        <v>1434471</v>
      </c>
      <c r="L8" s="7">
        <v>2020166</v>
      </c>
      <c r="M8" s="7">
        <v>2393005</v>
      </c>
      <c r="N8" s="7">
        <v>2533148</v>
      </c>
    </row>
    <row r="9" spans="1:14" ht="22.5" customHeight="1" x14ac:dyDescent="0.25">
      <c r="A9" s="24"/>
      <c r="B9" s="6" t="s">
        <v>17</v>
      </c>
      <c r="C9" s="7">
        <v>2277139</v>
      </c>
      <c r="D9" s="7">
        <v>2215379</v>
      </c>
      <c r="E9" s="7">
        <v>1868262</v>
      </c>
      <c r="F9" s="7">
        <v>1676466</v>
      </c>
      <c r="G9" s="7">
        <v>1337994</v>
      </c>
      <c r="H9" s="7">
        <v>1462554</v>
      </c>
      <c r="I9" s="7">
        <v>1396000</v>
      </c>
      <c r="J9" s="7">
        <v>1372163</v>
      </c>
      <c r="K9" s="7">
        <v>1319393</v>
      </c>
      <c r="L9" s="7">
        <v>1510576</v>
      </c>
      <c r="M9" s="7">
        <v>1682127</v>
      </c>
      <c r="N9" s="7">
        <v>1786743</v>
      </c>
    </row>
    <row r="10" spans="1:14" ht="22.5" customHeight="1" x14ac:dyDescent="0.25">
      <c r="A10" s="24"/>
      <c r="B10" s="25" t="s">
        <v>22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22.5" customHeight="1" x14ac:dyDescent="0.25">
      <c r="A11" s="24"/>
      <c r="B11" s="8"/>
      <c r="C11" s="7">
        <v>2567756</v>
      </c>
      <c r="D11" s="7">
        <v>2456230</v>
      </c>
      <c r="E11" s="7">
        <v>2497111</v>
      </c>
      <c r="F11" s="7">
        <v>2161579</v>
      </c>
      <c r="G11" s="7">
        <v>2581823</v>
      </c>
      <c r="H11" s="7">
        <v>2660128</v>
      </c>
      <c r="I11" s="7">
        <v>2386355</v>
      </c>
      <c r="J11" s="7">
        <v>2382188</v>
      </c>
      <c r="K11" s="7">
        <v>2392057</v>
      </c>
      <c r="L11" s="7">
        <v>2485361</v>
      </c>
      <c r="M11" s="7">
        <v>2249581</v>
      </c>
      <c r="N11" s="7">
        <v>2235860</v>
      </c>
    </row>
    <row r="12" spans="1:14" ht="22.5" customHeight="1" x14ac:dyDescent="0.25">
      <c r="A12" s="20" t="s">
        <v>18</v>
      </c>
      <c r="B12" s="21"/>
      <c r="C12" s="9">
        <f t="shared" ref="C12:N12" si="0">SUM(C5:C9,C11)</f>
        <v>81258778</v>
      </c>
      <c r="D12" s="9">
        <f t="shared" si="0"/>
        <v>75616367</v>
      </c>
      <c r="E12" s="9">
        <f t="shared" si="0"/>
        <v>79450320</v>
      </c>
      <c r="F12" s="9">
        <f t="shared" si="0"/>
        <v>69621740</v>
      </c>
      <c r="G12" s="9">
        <f t="shared" si="0"/>
        <v>65939665</v>
      </c>
      <c r="H12" s="9">
        <f t="shared" si="0"/>
        <v>64110499</v>
      </c>
      <c r="I12" s="9">
        <f t="shared" si="0"/>
        <v>69583455</v>
      </c>
      <c r="J12" s="9">
        <f t="shared" si="0"/>
        <v>65915167</v>
      </c>
      <c r="K12" s="9">
        <f t="shared" si="0"/>
        <v>62278311</v>
      </c>
      <c r="L12" s="9">
        <f t="shared" si="0"/>
        <v>70341979</v>
      </c>
      <c r="M12" s="9">
        <f t="shared" si="0"/>
        <v>72054324</v>
      </c>
      <c r="N12" s="9">
        <f t="shared" si="0"/>
        <v>79177820</v>
      </c>
    </row>
    <row r="13" spans="1:14" s="10" customFormat="1" ht="22.5" customHeight="1" x14ac:dyDescent="0.2">
      <c r="A13" s="20" t="s">
        <v>20</v>
      </c>
      <c r="B13" s="21"/>
      <c r="C13" s="9">
        <f>C12</f>
        <v>81258778</v>
      </c>
      <c r="D13" s="9">
        <f t="shared" ref="D13:N13" si="1">D12</f>
        <v>75616367</v>
      </c>
      <c r="E13" s="9">
        <f t="shared" si="1"/>
        <v>79450320</v>
      </c>
      <c r="F13" s="9">
        <f t="shared" si="1"/>
        <v>69621740</v>
      </c>
      <c r="G13" s="9">
        <f t="shared" si="1"/>
        <v>65939665</v>
      </c>
      <c r="H13" s="9">
        <f t="shared" si="1"/>
        <v>64110499</v>
      </c>
      <c r="I13" s="9">
        <f t="shared" si="1"/>
        <v>69583455</v>
      </c>
      <c r="J13" s="9">
        <f t="shared" si="1"/>
        <v>65915167</v>
      </c>
      <c r="K13" s="9">
        <f t="shared" si="1"/>
        <v>62278311</v>
      </c>
      <c r="L13" s="9">
        <f t="shared" si="1"/>
        <v>70341979</v>
      </c>
      <c r="M13" s="9">
        <f t="shared" si="1"/>
        <v>72054324</v>
      </c>
      <c r="N13" s="9">
        <f t="shared" si="1"/>
        <v>79177820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29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24"/>
      <c r="B6" s="6" t="s">
        <v>14</v>
      </c>
      <c r="C6" s="7">
        <v>71227667</v>
      </c>
      <c r="D6" s="7">
        <v>65532508</v>
      </c>
      <c r="E6" s="7">
        <v>65231227</v>
      </c>
      <c r="F6" s="7">
        <v>57292919</v>
      </c>
      <c r="G6" s="7">
        <v>55388988</v>
      </c>
      <c r="H6" s="7">
        <v>56082399</v>
      </c>
      <c r="I6" s="7">
        <v>57842969</v>
      </c>
      <c r="J6" s="7">
        <v>56411876</v>
      </c>
      <c r="K6" s="7">
        <v>56958858</v>
      </c>
      <c r="L6" s="7">
        <v>57855252</v>
      </c>
      <c r="M6" s="7">
        <v>60717163</v>
      </c>
      <c r="N6" s="7">
        <v>68003215</v>
      </c>
    </row>
    <row r="7" spans="1:14" ht="22.5" customHeight="1" x14ac:dyDescent="0.25">
      <c r="A7" s="24"/>
      <c r="B7" s="6" t="s">
        <v>15</v>
      </c>
      <c r="C7" s="7">
        <v>930419</v>
      </c>
      <c r="D7" s="7">
        <v>525872</v>
      </c>
      <c r="E7" s="7">
        <v>438502</v>
      </c>
      <c r="F7" s="7">
        <v>224404</v>
      </c>
      <c r="G7" s="7">
        <v>72748</v>
      </c>
      <c r="H7" s="7">
        <v>54954</v>
      </c>
      <c r="I7" s="7">
        <v>92759</v>
      </c>
      <c r="J7" s="7">
        <v>129675</v>
      </c>
      <c r="K7" s="7">
        <v>138890</v>
      </c>
      <c r="L7" s="7">
        <v>291495</v>
      </c>
      <c r="M7" s="7">
        <v>522230</v>
      </c>
      <c r="N7" s="7">
        <v>723171</v>
      </c>
    </row>
    <row r="8" spans="1:14" ht="22.5" customHeight="1" x14ac:dyDescent="0.25">
      <c r="A8" s="24"/>
      <c r="B8" s="6" t="s">
        <v>16</v>
      </c>
      <c r="C8" s="7">
        <v>2581302</v>
      </c>
      <c r="D8" s="7">
        <v>2503834</v>
      </c>
      <c r="E8" s="7">
        <v>2243615</v>
      </c>
      <c r="F8" s="7">
        <v>1779320</v>
      </c>
      <c r="G8" s="7">
        <v>1590831</v>
      </c>
      <c r="H8" s="7">
        <v>1526056</v>
      </c>
      <c r="I8" s="7">
        <v>1570819</v>
      </c>
      <c r="J8" s="7">
        <v>1511085</v>
      </c>
      <c r="K8" s="7">
        <v>1568775</v>
      </c>
      <c r="L8" s="7">
        <v>2010429</v>
      </c>
      <c r="M8" s="7">
        <v>2503884</v>
      </c>
      <c r="N8" s="7">
        <v>2666246</v>
      </c>
    </row>
    <row r="9" spans="1:14" ht="22.5" customHeight="1" x14ac:dyDescent="0.25">
      <c r="A9" s="24"/>
      <c r="B9" s="6" t="s">
        <v>17</v>
      </c>
      <c r="C9" s="7">
        <v>1813522</v>
      </c>
      <c r="D9" s="7">
        <v>1782192</v>
      </c>
      <c r="E9" s="7">
        <v>1582972</v>
      </c>
      <c r="F9" s="7">
        <v>1448922</v>
      </c>
      <c r="G9" s="7">
        <v>1214801</v>
      </c>
      <c r="H9" s="7">
        <v>1237585</v>
      </c>
      <c r="I9" s="7">
        <v>1284474</v>
      </c>
      <c r="J9" s="7">
        <v>1386106</v>
      </c>
      <c r="K9" s="7">
        <v>1340122</v>
      </c>
      <c r="L9" s="7">
        <v>1465496</v>
      </c>
      <c r="M9" s="7">
        <v>1706441</v>
      </c>
      <c r="N9" s="7">
        <v>1833980</v>
      </c>
    </row>
    <row r="10" spans="1:14" ht="22.5" customHeight="1" x14ac:dyDescent="0.25">
      <c r="A10" s="24"/>
      <c r="B10" s="25" t="s">
        <v>22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22.5" customHeight="1" x14ac:dyDescent="0.25">
      <c r="A11" s="24"/>
      <c r="B11" s="8"/>
      <c r="C11" s="7">
        <v>2437307</v>
      </c>
      <c r="D11" s="7">
        <v>2467912</v>
      </c>
      <c r="E11" s="7">
        <v>2760979</v>
      </c>
      <c r="F11" s="7">
        <v>2507155</v>
      </c>
      <c r="G11" s="7">
        <v>2669515</v>
      </c>
      <c r="H11" s="7">
        <v>2579760</v>
      </c>
      <c r="I11" s="7">
        <v>2524385</v>
      </c>
      <c r="J11" s="7">
        <v>2601329</v>
      </c>
      <c r="K11" s="7">
        <v>2593171</v>
      </c>
      <c r="L11" s="7">
        <v>2541925</v>
      </c>
      <c r="M11" s="7">
        <v>2600407</v>
      </c>
      <c r="N11" s="7">
        <v>2534612</v>
      </c>
    </row>
    <row r="12" spans="1:14" ht="22.5" customHeight="1" x14ac:dyDescent="0.25">
      <c r="A12" s="20" t="s">
        <v>18</v>
      </c>
      <c r="B12" s="21"/>
      <c r="C12" s="9">
        <f t="shared" ref="C12:N12" si="0">SUM(C5:C9,C11)</f>
        <v>78990217</v>
      </c>
      <c r="D12" s="9">
        <f t="shared" si="0"/>
        <v>72812318</v>
      </c>
      <c r="E12" s="9">
        <f t="shared" si="0"/>
        <v>72257295</v>
      </c>
      <c r="F12" s="9">
        <f t="shared" si="0"/>
        <v>63252720</v>
      </c>
      <c r="G12" s="9">
        <f t="shared" si="0"/>
        <v>60936883</v>
      </c>
      <c r="H12" s="9">
        <f t="shared" si="0"/>
        <v>61480754</v>
      </c>
      <c r="I12" s="9">
        <f t="shared" si="0"/>
        <v>63315406</v>
      </c>
      <c r="J12" s="9">
        <f t="shared" si="0"/>
        <v>62040071</v>
      </c>
      <c r="K12" s="9">
        <f t="shared" si="0"/>
        <v>62599816</v>
      </c>
      <c r="L12" s="9">
        <f t="shared" si="0"/>
        <v>64164597</v>
      </c>
      <c r="M12" s="9">
        <f t="shared" si="0"/>
        <v>68050125</v>
      </c>
      <c r="N12" s="9">
        <f t="shared" si="0"/>
        <v>75761224</v>
      </c>
    </row>
    <row r="13" spans="1:14" s="10" customFormat="1" ht="22.5" customHeight="1" x14ac:dyDescent="0.2">
      <c r="A13" s="20" t="s">
        <v>20</v>
      </c>
      <c r="B13" s="21"/>
      <c r="C13" s="9">
        <f>C12</f>
        <v>78990217</v>
      </c>
      <c r="D13" s="9">
        <f t="shared" ref="D13:N13" si="1">D12</f>
        <v>72812318</v>
      </c>
      <c r="E13" s="9">
        <f t="shared" si="1"/>
        <v>72257295</v>
      </c>
      <c r="F13" s="9">
        <f t="shared" si="1"/>
        <v>63252720</v>
      </c>
      <c r="G13" s="9">
        <f t="shared" si="1"/>
        <v>60936883</v>
      </c>
      <c r="H13" s="9">
        <f t="shared" si="1"/>
        <v>61480754</v>
      </c>
      <c r="I13" s="9">
        <f t="shared" si="1"/>
        <v>63315406</v>
      </c>
      <c r="J13" s="9">
        <f t="shared" si="1"/>
        <v>62040071</v>
      </c>
      <c r="K13" s="9">
        <f t="shared" si="1"/>
        <v>62599816</v>
      </c>
      <c r="L13" s="9">
        <f t="shared" si="1"/>
        <v>64164597</v>
      </c>
      <c r="M13" s="9">
        <f t="shared" si="1"/>
        <v>68050125</v>
      </c>
      <c r="N13" s="9">
        <f t="shared" si="1"/>
        <v>75761224</v>
      </c>
    </row>
  </sheetData>
  <mergeCells count="6">
    <mergeCell ref="A13:B13"/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opLeftCell="B1" zoomScale="90" zoomScaleNormal="90" workbookViewId="0">
      <selection activeCell="N13" sqref="N1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29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2.5" customHeight="1" x14ac:dyDescent="0.25">
      <c r="A6" s="24"/>
      <c r="B6" s="6" t="s">
        <v>14</v>
      </c>
      <c r="C6" s="7">
        <f>69034819-C7</f>
        <v>68572707</v>
      </c>
      <c r="D6" s="7">
        <f>63285919-D7</f>
        <v>62883584</v>
      </c>
      <c r="E6" s="7">
        <v>64615533</v>
      </c>
      <c r="F6" s="7">
        <v>59615740</v>
      </c>
      <c r="G6" s="7">
        <v>57329151</v>
      </c>
      <c r="H6" s="7">
        <v>55353050</v>
      </c>
      <c r="I6" s="7">
        <v>59687554</v>
      </c>
      <c r="J6" s="7">
        <v>57628780</v>
      </c>
      <c r="K6" s="7">
        <v>56946844</v>
      </c>
      <c r="L6" s="7">
        <v>62721666</v>
      </c>
      <c r="M6" s="7">
        <v>64869132</v>
      </c>
      <c r="N6" s="7">
        <v>71453465</v>
      </c>
    </row>
    <row r="7" spans="1:14" ht="22.5" customHeight="1" x14ac:dyDescent="0.25">
      <c r="A7" s="24"/>
      <c r="B7" s="6" t="s">
        <v>23</v>
      </c>
      <c r="C7" s="7">
        <v>462112</v>
      </c>
      <c r="D7" s="7">
        <v>402335</v>
      </c>
      <c r="E7" s="7">
        <v>317942</v>
      </c>
      <c r="F7" s="7">
        <v>158581</v>
      </c>
      <c r="G7" s="7">
        <v>43900</v>
      </c>
      <c r="H7" s="7">
        <v>7327</v>
      </c>
      <c r="I7" s="7">
        <v>90653</v>
      </c>
      <c r="J7" s="7">
        <v>11177</v>
      </c>
      <c r="K7" s="7">
        <v>44305</v>
      </c>
      <c r="L7" s="7">
        <v>310528</v>
      </c>
      <c r="M7" s="7">
        <v>392050</v>
      </c>
      <c r="N7" s="7">
        <v>454534</v>
      </c>
    </row>
    <row r="8" spans="1:14" ht="22.5" customHeight="1" x14ac:dyDescent="0.25">
      <c r="A8" s="24"/>
      <c r="B8" s="6" t="s">
        <v>15</v>
      </c>
      <c r="C8" s="7">
        <v>764100</v>
      </c>
      <c r="D8" s="7">
        <v>574039</v>
      </c>
      <c r="E8" s="7">
        <v>433115</v>
      </c>
      <c r="F8" s="7">
        <v>238042</v>
      </c>
      <c r="G8" s="7">
        <v>90094</v>
      </c>
      <c r="H8" s="7">
        <v>43356</v>
      </c>
      <c r="I8" s="7">
        <v>120646</v>
      </c>
      <c r="J8" s="7">
        <v>102328</v>
      </c>
      <c r="K8" s="7">
        <v>111137</v>
      </c>
      <c r="L8" s="7">
        <v>298218</v>
      </c>
      <c r="M8" s="7">
        <v>323661</v>
      </c>
      <c r="N8" s="7">
        <v>603929</v>
      </c>
    </row>
    <row r="9" spans="1:14" ht="22.5" customHeight="1" x14ac:dyDescent="0.25">
      <c r="A9" s="24"/>
      <c r="B9" s="6" t="s">
        <v>16</v>
      </c>
      <c r="C9" s="7">
        <f>2533986+847857.62</f>
        <v>3381843.62</v>
      </c>
      <c r="D9" s="7">
        <f>2505042+960784.39</f>
        <v>3465826.39</v>
      </c>
      <c r="E9" s="7">
        <f>2250633+719535.69</f>
        <v>2970168.69</v>
      </c>
      <c r="F9" s="7">
        <f>2002876+657749.24</f>
        <v>2660625.2400000002</v>
      </c>
      <c r="G9" s="7">
        <f>576156.15+1638599</f>
        <v>2214755.15</v>
      </c>
      <c r="H9" s="7">
        <f>1436016+593522</f>
        <v>2029538</v>
      </c>
      <c r="I9" s="7">
        <f>1453015+664526</f>
        <v>2117541</v>
      </c>
      <c r="J9" s="7">
        <f>1503488+804914</f>
        <v>2308402</v>
      </c>
      <c r="K9" s="7">
        <f>1487706+651861</f>
        <v>2139567</v>
      </c>
      <c r="L9" s="7">
        <f>2047077+691302.46</f>
        <v>2738379.46</v>
      </c>
      <c r="M9" s="7">
        <f>2356435+686865.27</f>
        <v>3043300.27</v>
      </c>
      <c r="N9" s="7">
        <f>2451198+792078.15</f>
        <v>3243276.15</v>
      </c>
    </row>
    <row r="10" spans="1:14" ht="22.5" customHeight="1" x14ac:dyDescent="0.25">
      <c r="A10" s="24"/>
      <c r="B10" s="6" t="s">
        <v>17</v>
      </c>
      <c r="C10" s="7">
        <f>1786487+264616.38</f>
        <v>2051103.38</v>
      </c>
      <c r="D10" s="7">
        <f>1736674+257876.61</f>
        <v>1994550.6099999999</v>
      </c>
      <c r="E10" s="7">
        <f>1339997+217276.31</f>
        <v>1557273.31</v>
      </c>
      <c r="F10" s="7">
        <f>1204903+227204.93</f>
        <v>1432107.93</v>
      </c>
      <c r="G10" s="7">
        <f>250805.28+1064252</f>
        <v>1315057.28</v>
      </c>
      <c r="H10" s="7">
        <f>986896+252701</f>
        <v>1239597</v>
      </c>
      <c r="I10" s="7">
        <f>965592+242356</f>
        <v>1207948</v>
      </c>
      <c r="J10" s="7">
        <f>1076016+284291</f>
        <v>1360307</v>
      </c>
      <c r="K10" s="7">
        <f>964281+272363</f>
        <v>1236644</v>
      </c>
      <c r="L10" s="7">
        <f>1199626+274774.54</f>
        <v>1474400.54</v>
      </c>
      <c r="M10" s="7">
        <f>1374695+295936.73</f>
        <v>1670631.73</v>
      </c>
      <c r="N10" s="7">
        <v>1366574</v>
      </c>
    </row>
    <row r="11" spans="1:14" ht="22.5" customHeight="1" x14ac:dyDescent="0.25">
      <c r="A11" s="24"/>
      <c r="B11" s="25" t="s">
        <v>22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</row>
    <row r="12" spans="1:14" ht="22.5" customHeight="1" x14ac:dyDescent="0.25">
      <c r="A12" s="24"/>
      <c r="B12" s="8"/>
      <c r="C12" s="7">
        <v>2517121</v>
      </c>
      <c r="D12" s="7">
        <v>2601965</v>
      </c>
      <c r="E12" s="7">
        <v>2249642</v>
      </c>
      <c r="F12" s="7">
        <v>2249626</v>
      </c>
      <c r="G12" s="7">
        <v>2564557</v>
      </c>
      <c r="H12" s="7">
        <v>2501265</v>
      </c>
      <c r="I12" s="7">
        <v>2328566</v>
      </c>
      <c r="J12" s="7">
        <v>2505762</v>
      </c>
      <c r="K12" s="7">
        <v>2350968</v>
      </c>
      <c r="L12" s="7">
        <v>2391912</v>
      </c>
      <c r="M12" s="7">
        <v>2444933</v>
      </c>
      <c r="N12" s="7">
        <f>2396804+229884.59</f>
        <v>2626688.59</v>
      </c>
    </row>
    <row r="13" spans="1:14" ht="22.5" customHeight="1" x14ac:dyDescent="0.25">
      <c r="A13" s="20" t="s">
        <v>18</v>
      </c>
      <c r="B13" s="21"/>
      <c r="C13" s="9">
        <f t="shared" ref="C13:N13" si="0">SUM(C5:C10,C12)</f>
        <v>77748987</v>
      </c>
      <c r="D13" s="9">
        <f t="shared" si="0"/>
        <v>71922300</v>
      </c>
      <c r="E13" s="9">
        <f t="shared" si="0"/>
        <v>72143674</v>
      </c>
      <c r="F13" s="9">
        <f t="shared" si="0"/>
        <v>66354722.170000002</v>
      </c>
      <c r="G13" s="9">
        <f t="shared" ref="G13" si="1">SUM(G5:G10,G12)</f>
        <v>63557514.43</v>
      </c>
      <c r="H13" s="9">
        <f t="shared" si="0"/>
        <v>61174133</v>
      </c>
      <c r="I13" s="9">
        <f t="shared" ref="I13:J13" si="2">SUM(I5:I10,I12)</f>
        <v>65552908</v>
      </c>
      <c r="J13" s="9">
        <f t="shared" si="2"/>
        <v>63916756</v>
      </c>
      <c r="K13" s="9">
        <f t="shared" ref="K13" si="3">SUM(K5:K10,K12)</f>
        <v>62829465</v>
      </c>
      <c r="L13" s="9">
        <f t="shared" si="0"/>
        <v>69935104</v>
      </c>
      <c r="M13" s="9">
        <f t="shared" si="0"/>
        <v>72743708</v>
      </c>
      <c r="N13" s="9">
        <f t="shared" si="0"/>
        <v>79748466.74000001</v>
      </c>
    </row>
    <row r="14" spans="1:14" s="10" customFormat="1" ht="22.5" customHeight="1" x14ac:dyDescent="0.2">
      <c r="A14" s="20" t="s">
        <v>20</v>
      </c>
      <c r="B14" s="21"/>
      <c r="C14" s="9">
        <f>C13</f>
        <v>77748987</v>
      </c>
      <c r="D14" s="9">
        <f t="shared" ref="D14:N14" si="4">D13</f>
        <v>71922300</v>
      </c>
      <c r="E14" s="9">
        <f t="shared" si="4"/>
        <v>72143674</v>
      </c>
      <c r="F14" s="9">
        <f t="shared" si="4"/>
        <v>66354722.170000002</v>
      </c>
      <c r="G14" s="9">
        <f t="shared" ref="G14" si="5">G13</f>
        <v>63557514.43</v>
      </c>
      <c r="H14" s="9">
        <f t="shared" si="4"/>
        <v>61174133</v>
      </c>
      <c r="I14" s="9">
        <f t="shared" ref="I14:J14" si="6">I13</f>
        <v>65552908</v>
      </c>
      <c r="J14" s="9">
        <f t="shared" si="6"/>
        <v>63916756</v>
      </c>
      <c r="K14" s="9">
        <f t="shared" ref="K14" si="7">K13</f>
        <v>62829465</v>
      </c>
      <c r="L14" s="9">
        <f t="shared" si="4"/>
        <v>69935104</v>
      </c>
      <c r="M14" s="9">
        <f t="shared" si="4"/>
        <v>72743708</v>
      </c>
      <c r="N14" s="9">
        <f t="shared" si="4"/>
        <v>79748466.74000001</v>
      </c>
    </row>
  </sheetData>
  <mergeCells count="6">
    <mergeCell ref="A14:B14"/>
    <mergeCell ref="A2:N2"/>
    <mergeCell ref="A4:A12"/>
    <mergeCell ref="B4:N4"/>
    <mergeCell ref="B11:N11"/>
    <mergeCell ref="A13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8" zoomScaleNormal="78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22.5" customHeight="1" x14ac:dyDescent="0.25">
      <c r="A4" s="23" t="s">
        <v>29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2.5" customHeight="1" x14ac:dyDescent="0.25">
      <c r="A5" s="24"/>
      <c r="B5" s="6" t="s">
        <v>14</v>
      </c>
      <c r="C5" s="7">
        <v>70000496</v>
      </c>
      <c r="D5" s="7">
        <v>63914463</v>
      </c>
      <c r="E5" s="7">
        <v>72431490</v>
      </c>
      <c r="F5" s="7">
        <v>63714276</v>
      </c>
      <c r="G5" s="7">
        <v>57955591</v>
      </c>
      <c r="H5" s="7">
        <v>59779408</v>
      </c>
      <c r="I5" s="7">
        <v>57557739</v>
      </c>
      <c r="J5" s="7">
        <v>55943981</v>
      </c>
      <c r="K5" s="7">
        <v>56319480</v>
      </c>
      <c r="L5" s="7">
        <v>62224576</v>
      </c>
      <c r="M5" s="7">
        <v>66078730</v>
      </c>
      <c r="N5" s="7">
        <v>71484438</v>
      </c>
    </row>
    <row r="6" spans="1:14" ht="22.5" customHeight="1" x14ac:dyDescent="0.25">
      <c r="A6" s="24"/>
      <c r="B6" s="6" t="s">
        <v>15</v>
      </c>
      <c r="C6" s="7">
        <v>648036</v>
      </c>
      <c r="D6" s="7">
        <v>638269</v>
      </c>
      <c r="E6" s="7">
        <v>696540</v>
      </c>
      <c r="F6" s="7">
        <v>252944</v>
      </c>
      <c r="G6" s="7">
        <v>110990</v>
      </c>
      <c r="H6" s="7">
        <v>90951</v>
      </c>
      <c r="I6" s="7">
        <v>120222</v>
      </c>
      <c r="J6" s="7">
        <v>127869</v>
      </c>
      <c r="K6" s="7">
        <v>103332</v>
      </c>
      <c r="L6" s="7">
        <v>225337</v>
      </c>
      <c r="M6" s="7">
        <v>322608</v>
      </c>
      <c r="N6" s="7">
        <v>391339</v>
      </c>
    </row>
    <row r="7" spans="1:14" ht="22.5" customHeight="1" x14ac:dyDescent="0.25">
      <c r="A7" s="24"/>
      <c r="B7" s="6" t="s">
        <v>16</v>
      </c>
      <c r="C7" s="7">
        <f>2651931+944942.36</f>
        <v>3596873.36</v>
      </c>
      <c r="D7" s="7">
        <f>2751798+894991.74</f>
        <v>3646789.74</v>
      </c>
      <c r="E7" s="7">
        <f>2591252+775372.62</f>
        <v>3366624.62</v>
      </c>
      <c r="F7" s="7">
        <f>2084375+641345.36</f>
        <v>2725720.36</v>
      </c>
      <c r="G7" s="7">
        <f>1611940+585100.87</f>
        <v>2197040.87</v>
      </c>
      <c r="H7" s="7">
        <f>1583118+644887.19</f>
        <v>2228005.19</v>
      </c>
      <c r="I7" s="7">
        <f>1622197+772286.25</f>
        <v>2394483.25</v>
      </c>
      <c r="J7" s="7">
        <f>1534595+768622.61</f>
        <v>2303217.61</v>
      </c>
      <c r="K7" s="7">
        <f>1615055+629796.78</f>
        <v>2244851.7800000003</v>
      </c>
      <c r="L7" s="7">
        <f>2055422+626185.27</f>
        <v>2681607.27</v>
      </c>
      <c r="M7" s="7">
        <f>2625015+755241.42</f>
        <v>3380256.42</v>
      </c>
      <c r="N7" s="7">
        <f>3030658+793730.9</f>
        <v>3824388.9</v>
      </c>
    </row>
    <row r="8" spans="1:14" ht="22.5" customHeight="1" x14ac:dyDescent="0.25">
      <c r="A8" s="24"/>
      <c r="B8" s="6" t="s">
        <v>17</v>
      </c>
      <c r="C8" s="7">
        <f>1394166+271525.42</f>
        <v>1665691.42</v>
      </c>
      <c r="D8" s="7">
        <f>1316771+255276.26</f>
        <v>1572047.26</v>
      </c>
      <c r="E8" s="7">
        <f>1274501+214301.38</f>
        <v>1488802.38</v>
      </c>
      <c r="F8" s="7">
        <f>1106943+218028.64</f>
        <v>1324971.6400000001</v>
      </c>
      <c r="G8" s="7">
        <f>942215+193537.13</f>
        <v>1135752.1299999999</v>
      </c>
      <c r="H8" s="7">
        <f>906805+197318.81</f>
        <v>1104123.81</v>
      </c>
      <c r="I8" s="7">
        <f>970695+228694.75</f>
        <v>1199389.75</v>
      </c>
      <c r="J8" s="7">
        <f>979777+244306.39</f>
        <v>1224083.3900000001</v>
      </c>
      <c r="K8" s="7">
        <f>932087+196230.22</f>
        <v>1128317.22</v>
      </c>
      <c r="L8" s="7">
        <f>1011479+194499.73</f>
        <v>1205978.73</v>
      </c>
      <c r="M8" s="7">
        <f>1151466+228128.58</f>
        <v>1379594.58</v>
      </c>
      <c r="N8" s="7">
        <f>1164721+238600.1</f>
        <v>1403321.1</v>
      </c>
    </row>
    <row r="9" spans="1:14" ht="22.5" customHeight="1" x14ac:dyDescent="0.25">
      <c r="A9" s="24"/>
      <c r="B9" s="25" t="s">
        <v>22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1:14" ht="22.5" customHeight="1" x14ac:dyDescent="0.25">
      <c r="A10" s="24"/>
      <c r="B10" s="8"/>
      <c r="C10" s="7">
        <v>2613778</v>
      </c>
      <c r="D10" s="7">
        <v>2463560</v>
      </c>
      <c r="E10" s="7">
        <v>2416632</v>
      </c>
      <c r="F10" s="7">
        <v>2295568</v>
      </c>
      <c r="G10" s="7">
        <v>2374007</v>
      </c>
      <c r="H10" s="7">
        <v>2614949</v>
      </c>
      <c r="I10" s="7">
        <v>2645549</v>
      </c>
      <c r="J10" s="7">
        <v>2621140</v>
      </c>
      <c r="K10" s="7">
        <v>2341691</v>
      </c>
      <c r="L10" s="7">
        <v>2513633</v>
      </c>
      <c r="M10" s="7">
        <v>2379717</v>
      </c>
      <c r="N10" s="7">
        <v>2414358</v>
      </c>
    </row>
    <row r="11" spans="1:14" ht="22.5" customHeight="1" x14ac:dyDescent="0.25">
      <c r="A11" s="20" t="s">
        <v>18</v>
      </c>
      <c r="B11" s="21"/>
      <c r="C11" s="9">
        <f t="shared" ref="C11:N11" si="0">SUM(C5:C8,C10)</f>
        <v>78524874.780000001</v>
      </c>
      <c r="D11" s="9">
        <f t="shared" si="0"/>
        <v>72235129</v>
      </c>
      <c r="E11" s="9">
        <f t="shared" si="0"/>
        <v>80400089</v>
      </c>
      <c r="F11" s="9">
        <f t="shared" si="0"/>
        <v>70313480</v>
      </c>
      <c r="G11" s="9">
        <f t="shared" si="0"/>
        <v>63773381</v>
      </c>
      <c r="H11" s="9">
        <f t="shared" si="0"/>
        <v>65817437</v>
      </c>
      <c r="I11" s="9">
        <f t="shared" si="0"/>
        <v>63917383</v>
      </c>
      <c r="J11" s="9">
        <f t="shared" si="0"/>
        <v>62220291</v>
      </c>
      <c r="K11" s="9">
        <f t="shared" si="0"/>
        <v>62137672</v>
      </c>
      <c r="L11" s="9">
        <f t="shared" si="0"/>
        <v>68851132</v>
      </c>
      <c r="M11" s="9">
        <f t="shared" si="0"/>
        <v>73540906</v>
      </c>
      <c r="N11" s="9">
        <f t="shared" si="0"/>
        <v>79517845</v>
      </c>
    </row>
    <row r="12" spans="1:14" s="10" customFormat="1" ht="22.5" customHeight="1" x14ac:dyDescent="0.2">
      <c r="A12" s="20" t="s">
        <v>20</v>
      </c>
      <c r="B12" s="21"/>
      <c r="C12" s="9">
        <f>C11</f>
        <v>78524874.780000001</v>
      </c>
      <c r="D12" s="9">
        <f t="shared" ref="D12:N12" si="1">D11</f>
        <v>72235129</v>
      </c>
      <c r="E12" s="9">
        <f t="shared" si="1"/>
        <v>80400089</v>
      </c>
      <c r="F12" s="9">
        <f t="shared" si="1"/>
        <v>70313480</v>
      </c>
      <c r="G12" s="9">
        <f t="shared" si="1"/>
        <v>63773381</v>
      </c>
      <c r="H12" s="9">
        <f t="shared" si="1"/>
        <v>65817437</v>
      </c>
      <c r="I12" s="9">
        <f t="shared" si="1"/>
        <v>63917383</v>
      </c>
      <c r="J12" s="9">
        <f t="shared" si="1"/>
        <v>62220291</v>
      </c>
      <c r="K12" s="9">
        <f t="shared" si="1"/>
        <v>62137672</v>
      </c>
      <c r="L12" s="9">
        <f t="shared" si="1"/>
        <v>68851132</v>
      </c>
      <c r="M12" s="9">
        <f t="shared" si="1"/>
        <v>73540906</v>
      </c>
      <c r="N12" s="9">
        <f t="shared" si="1"/>
        <v>79517845</v>
      </c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opLeftCell="B1" zoomScale="75" zoomScaleNormal="75" workbookViewId="0">
      <selection activeCell="B9" sqref="B9:N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5703125" style="1" customWidth="1"/>
    <col min="15" max="15" width="9.140625" style="12"/>
    <col min="16" max="16" width="9.140625" style="1"/>
    <col min="17" max="17" width="11.5703125" style="12" bestFit="1" customWidth="1"/>
    <col min="18" max="16384" width="9.140625" style="1"/>
  </cols>
  <sheetData>
    <row r="2" spans="1:17" ht="42.75" customHeight="1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13"/>
      <c r="Q3" s="13"/>
    </row>
    <row r="4" spans="1:17" ht="22.5" customHeight="1" x14ac:dyDescent="0.25">
      <c r="A4" s="23" t="s">
        <v>29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7" ht="22.5" customHeight="1" x14ac:dyDescent="0.25">
      <c r="A5" s="24"/>
      <c r="B5" s="6" t="s">
        <v>14</v>
      </c>
      <c r="C5" s="7">
        <v>72445350</v>
      </c>
      <c r="D5" s="7">
        <v>66755155</v>
      </c>
      <c r="E5" s="7">
        <v>69060673</v>
      </c>
      <c r="F5" s="7">
        <v>60322321</v>
      </c>
      <c r="G5" s="7">
        <v>54940465</v>
      </c>
      <c r="H5" s="7">
        <v>53258464</v>
      </c>
      <c r="I5" s="7">
        <v>57430222</v>
      </c>
      <c r="J5" s="7">
        <v>59903313</v>
      </c>
      <c r="K5" s="7">
        <v>59961993</v>
      </c>
      <c r="L5" s="7">
        <v>61408388</v>
      </c>
      <c r="M5" s="7">
        <v>66975600</v>
      </c>
      <c r="N5" s="7">
        <v>75598943</v>
      </c>
      <c r="O5" s="12">
        <f>N5/M5</f>
        <v>1.1287535012750913</v>
      </c>
      <c r="Q5" s="11">
        <f>AVERAGE(C5:N5)</f>
        <v>63171740.583333336</v>
      </c>
    </row>
    <row r="6" spans="1:17" ht="22.5" customHeight="1" x14ac:dyDescent="0.25">
      <c r="A6" s="24"/>
      <c r="B6" s="6" t="s">
        <v>15</v>
      </c>
      <c r="C6" s="7">
        <v>549502</v>
      </c>
      <c r="D6" s="7">
        <v>268009</v>
      </c>
      <c r="E6" s="7">
        <v>294027</v>
      </c>
      <c r="F6" s="7">
        <v>119390</v>
      </c>
      <c r="G6" s="7">
        <v>69320</v>
      </c>
      <c r="H6" s="7">
        <v>77660</v>
      </c>
      <c r="I6" s="7">
        <v>72020</v>
      </c>
      <c r="J6" s="7">
        <v>79376</v>
      </c>
      <c r="K6" s="7">
        <v>95221</v>
      </c>
      <c r="L6" s="7">
        <v>284922</v>
      </c>
      <c r="M6" s="7">
        <v>528885</v>
      </c>
      <c r="N6" s="7">
        <v>722648</v>
      </c>
      <c r="O6" s="12">
        <f t="shared" ref="O6:O8" si="0">N6/M6</f>
        <v>1.3663613072785199</v>
      </c>
      <c r="Q6" s="11">
        <f t="shared" ref="Q6:Q8" si="1">AVERAGE(C6:N6)</f>
        <v>263415</v>
      </c>
    </row>
    <row r="7" spans="1:17" ht="22.5" customHeight="1" x14ac:dyDescent="0.25">
      <c r="A7" s="24"/>
      <c r="B7" s="6" t="s">
        <v>16</v>
      </c>
      <c r="C7" s="7">
        <f>2872143+841880.87</f>
        <v>3714023.87</v>
      </c>
      <c r="D7" s="7">
        <f>2751927+822879.11</f>
        <v>3574806.11</v>
      </c>
      <c r="E7" s="7">
        <f>2421421+662624.47</f>
        <v>3084045.4699999997</v>
      </c>
      <c r="F7" s="7">
        <f>2454564+663225.02</f>
        <v>3117789.02</v>
      </c>
      <c r="G7" s="7">
        <f>1535299+606958.75</f>
        <v>2142257.75</v>
      </c>
      <c r="H7" s="7">
        <f>1696609+624753.65</f>
        <v>2321362.65</v>
      </c>
      <c r="I7" s="7">
        <f>1617222+682454.16</f>
        <v>2299676.16</v>
      </c>
      <c r="J7" s="7">
        <f>1551165+681440.19</f>
        <v>2232605.19</v>
      </c>
      <c r="K7" s="7">
        <f>1740004+603717.01</f>
        <v>2343721.0099999998</v>
      </c>
      <c r="L7" s="7">
        <f>2149578+639251.77</f>
        <v>2788829.77</v>
      </c>
      <c r="M7" s="7">
        <f>2457576+684198.41</f>
        <v>3141774.41</v>
      </c>
      <c r="N7" s="7">
        <f>2845575+737946.36</f>
        <v>3583521.36</v>
      </c>
      <c r="O7" s="12">
        <f t="shared" si="0"/>
        <v>1.1406042867348962</v>
      </c>
      <c r="Q7" s="11">
        <f t="shared" si="1"/>
        <v>2862034.3974999995</v>
      </c>
    </row>
    <row r="8" spans="1:17" ht="22.5" customHeight="1" x14ac:dyDescent="0.25">
      <c r="A8" s="24"/>
      <c r="B8" s="6" t="s">
        <v>17</v>
      </c>
      <c r="C8" s="7">
        <f>1195376+251453.13</f>
        <v>1446829.13</v>
      </c>
      <c r="D8" s="7">
        <f>1154199+222973.89</f>
        <v>1377172.8900000001</v>
      </c>
      <c r="E8" s="7">
        <f>1045069+190314.53</f>
        <v>1235383.53</v>
      </c>
      <c r="F8" s="7">
        <f>1014470+193332.98</f>
        <v>1207802.98</v>
      </c>
      <c r="G8" s="7">
        <f>875419+175908.25</f>
        <v>1051327.25</v>
      </c>
      <c r="H8" s="7">
        <f>896978+187954.35</f>
        <v>1084932.3500000001</v>
      </c>
      <c r="I8" s="7">
        <f>896483+202588.09</f>
        <v>1099071.0900000001</v>
      </c>
      <c r="J8" s="7">
        <f>837228+202292.43</f>
        <v>1039520.4299999999</v>
      </c>
      <c r="K8" s="7">
        <f>846466+169982.44</f>
        <v>1016448.44</v>
      </c>
      <c r="L8" s="7">
        <f>988485+165012.63</f>
        <v>1153497.6299999999</v>
      </c>
      <c r="M8" s="7">
        <f>1045564+187960.26</f>
        <v>1233524.26</v>
      </c>
      <c r="N8" s="7">
        <f>1098530+188419.89</f>
        <v>1286949.8900000001</v>
      </c>
      <c r="O8" s="12">
        <f t="shared" si="0"/>
        <v>1.0433113735436383</v>
      </c>
      <c r="Q8" s="11">
        <f t="shared" si="1"/>
        <v>1186038.3225</v>
      </c>
    </row>
    <row r="9" spans="1:17" ht="22.5" customHeight="1" x14ac:dyDescent="0.25">
      <c r="A9" s="24"/>
      <c r="B9" s="25" t="s">
        <v>22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Q9" s="11"/>
    </row>
    <row r="10" spans="1:17" ht="22.5" customHeight="1" x14ac:dyDescent="0.25">
      <c r="A10" s="24"/>
      <c r="B10" s="8"/>
      <c r="C10" s="7">
        <v>2666264</v>
      </c>
      <c r="D10" s="7">
        <v>2589789</v>
      </c>
      <c r="E10" s="7">
        <v>2299021</v>
      </c>
      <c r="F10" s="7">
        <v>2299189</v>
      </c>
      <c r="G10" s="7">
        <v>2440360</v>
      </c>
      <c r="H10" s="7">
        <v>2310863</v>
      </c>
      <c r="I10" s="7">
        <f>2409633+13925.75</f>
        <v>2423558.75</v>
      </c>
      <c r="J10" s="7">
        <f>2311228+12317.38</f>
        <v>2323545.38</v>
      </c>
      <c r="K10" s="7">
        <f>2477024+13862.55</f>
        <v>2490886.5499999998</v>
      </c>
      <c r="L10" s="7">
        <f>2493620+18205.6</f>
        <v>2511825.6</v>
      </c>
      <c r="M10" s="7">
        <f>2399991+18703.33</f>
        <v>2418694.33</v>
      </c>
      <c r="N10" s="7">
        <f>2343639+21996.75</f>
        <v>2365635.75</v>
      </c>
      <c r="O10" s="12">
        <f>N10/M10</f>
        <v>0.97806313127628652</v>
      </c>
      <c r="Q10" s="11">
        <f>AVERAGE(C10:N10)</f>
        <v>2428302.6966666668</v>
      </c>
    </row>
    <row r="11" spans="1:17" ht="22.5" customHeight="1" x14ac:dyDescent="0.25">
      <c r="A11" s="20" t="s">
        <v>18</v>
      </c>
      <c r="B11" s="21"/>
      <c r="C11" s="9">
        <f t="shared" ref="C11:N11" si="2">SUM(C5:C8,C10)</f>
        <v>80821969</v>
      </c>
      <c r="D11" s="9">
        <f t="shared" si="2"/>
        <v>74564932</v>
      </c>
      <c r="E11" s="9">
        <f t="shared" si="2"/>
        <v>75973150</v>
      </c>
      <c r="F11" s="9">
        <f t="shared" si="2"/>
        <v>67066492</v>
      </c>
      <c r="G11" s="9">
        <f t="shared" si="2"/>
        <v>60643730</v>
      </c>
      <c r="H11" s="9">
        <f t="shared" si="2"/>
        <v>59053282</v>
      </c>
      <c r="I11" s="9">
        <f t="shared" si="2"/>
        <v>63324548</v>
      </c>
      <c r="J11" s="9">
        <f t="shared" si="2"/>
        <v>65578360</v>
      </c>
      <c r="K11" s="9">
        <f t="shared" si="2"/>
        <v>65908269.999999993</v>
      </c>
      <c r="L11" s="9">
        <f t="shared" si="2"/>
        <v>68147463</v>
      </c>
      <c r="M11" s="9">
        <f t="shared" si="2"/>
        <v>74298478</v>
      </c>
      <c r="N11" s="9">
        <f t="shared" si="2"/>
        <v>83557698</v>
      </c>
    </row>
    <row r="12" spans="1:17" s="10" customFormat="1" ht="22.5" customHeight="1" x14ac:dyDescent="0.25">
      <c r="A12" s="20" t="s">
        <v>20</v>
      </c>
      <c r="B12" s="21"/>
      <c r="C12" s="9">
        <f>C11</f>
        <v>80821969</v>
      </c>
      <c r="D12" s="9">
        <f t="shared" ref="D12:N12" si="3">D11</f>
        <v>74564932</v>
      </c>
      <c r="E12" s="9">
        <f t="shared" si="3"/>
        <v>75973150</v>
      </c>
      <c r="F12" s="9">
        <f t="shared" si="3"/>
        <v>67066492</v>
      </c>
      <c r="G12" s="9">
        <f t="shared" si="3"/>
        <v>60643730</v>
      </c>
      <c r="H12" s="9">
        <f t="shared" si="3"/>
        <v>59053282</v>
      </c>
      <c r="I12" s="9">
        <f t="shared" si="3"/>
        <v>63324548</v>
      </c>
      <c r="J12" s="9">
        <f t="shared" si="3"/>
        <v>65578360</v>
      </c>
      <c r="K12" s="9">
        <f t="shared" si="3"/>
        <v>65908269.999999993</v>
      </c>
      <c r="L12" s="9">
        <f t="shared" si="3"/>
        <v>68147463</v>
      </c>
      <c r="M12" s="9">
        <f t="shared" si="3"/>
        <v>74298478</v>
      </c>
      <c r="N12" s="9">
        <f t="shared" si="3"/>
        <v>83557698</v>
      </c>
      <c r="O12" s="12"/>
      <c r="Q12" s="14"/>
    </row>
  </sheetData>
  <mergeCells count="6">
    <mergeCell ref="A12:B12"/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topLeftCell="B1"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9.5703125" style="1" customWidth="1"/>
    <col min="7" max="7" width="19.5703125" style="1" hidden="1" customWidth="1"/>
    <col min="8" max="8" width="19.5703125" style="1" customWidth="1"/>
    <col min="9" max="9" width="19.5703125" style="1" hidden="1" customWidth="1"/>
    <col min="10" max="10" width="19.5703125" style="1" customWidth="1"/>
    <col min="11" max="11" width="19.5703125" style="1" hidden="1" customWidth="1"/>
    <col min="12" max="12" width="19.5703125" style="1" customWidth="1"/>
    <col min="13" max="13" width="19.5703125" style="1" hidden="1" customWidth="1"/>
    <col min="14" max="14" width="19.5703125" style="1" customWidth="1"/>
    <col min="15" max="15" width="19.5703125" style="1" hidden="1" customWidth="1"/>
    <col min="16" max="16" width="19.5703125" style="1" customWidth="1"/>
    <col min="17" max="17" width="19.5703125" style="1" hidden="1" customWidth="1"/>
    <col min="18" max="18" width="19.5703125" style="1" customWidth="1"/>
    <col min="19" max="19" width="19.5703125" style="1" hidden="1" customWidth="1"/>
    <col min="20" max="20" width="19.5703125" style="1" customWidth="1"/>
    <col min="21" max="21" width="19.5703125" style="1" hidden="1" customWidth="1"/>
    <col min="22" max="22" width="19.5703125" style="1" customWidth="1"/>
    <col min="23" max="23" width="12.7109375" style="12" bestFit="1" customWidth="1"/>
    <col min="24" max="16384" width="9.140625" style="1"/>
  </cols>
  <sheetData>
    <row r="2" spans="1:23" ht="42.7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3" s="5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13"/>
    </row>
    <row r="4" spans="1:23" ht="22.5" customHeight="1" x14ac:dyDescent="0.25">
      <c r="A4" s="23" t="s">
        <v>34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23" ht="22.5" customHeight="1" x14ac:dyDescent="0.25">
      <c r="A5" s="24"/>
      <c r="B5" s="16" t="s">
        <v>14</v>
      </c>
      <c r="C5" s="15">
        <v>73140623</v>
      </c>
      <c r="D5" s="15">
        <v>66472236</v>
      </c>
      <c r="E5" s="15">
        <v>67854387</v>
      </c>
      <c r="F5" s="15">
        <v>58956299</v>
      </c>
      <c r="G5" s="15">
        <v>0.91078168228971168</v>
      </c>
      <c r="H5" s="15">
        <v>54107185</v>
      </c>
      <c r="I5" s="15">
        <v>0.96938502431677631</v>
      </c>
      <c r="J5" s="15">
        <v>50226767</v>
      </c>
      <c r="K5" s="15">
        <v>1.0783304227474528</v>
      </c>
      <c r="L5" s="15">
        <v>55847523</v>
      </c>
      <c r="M5" s="15">
        <v>1.0430625359588546</v>
      </c>
      <c r="N5" s="15">
        <v>62048726</v>
      </c>
      <c r="O5" s="15">
        <v>1.0009795785418412</v>
      </c>
      <c r="P5" s="15">
        <v>64529502</v>
      </c>
      <c r="Q5" s="15">
        <v>1.0241218633276583</v>
      </c>
      <c r="R5" s="15">
        <v>62924451</v>
      </c>
      <c r="S5" s="15">
        <v>1.0906588200947402</v>
      </c>
      <c r="T5" s="15">
        <f>11215799+54001398</f>
        <v>65217197</v>
      </c>
      <c r="U5" s="15">
        <v>1.1287535012750913</v>
      </c>
      <c r="V5" s="15">
        <v>75612240</v>
      </c>
      <c r="W5" s="12">
        <f>'2021'!C5/'2020'!V5</f>
        <v>1.0053562095237492</v>
      </c>
    </row>
    <row r="6" spans="1:23" ht="22.5" customHeight="1" x14ac:dyDescent="0.25">
      <c r="A6" s="24"/>
      <c r="B6" s="16" t="s">
        <v>15</v>
      </c>
      <c r="C6" s="15">
        <v>776654</v>
      </c>
      <c r="D6" s="15">
        <v>604036</v>
      </c>
      <c r="E6" s="15">
        <v>564877</v>
      </c>
      <c r="F6" s="15">
        <v>432763</v>
      </c>
      <c r="G6" s="15">
        <v>0.5806181422229667</v>
      </c>
      <c r="H6" s="15">
        <v>219861</v>
      </c>
      <c r="I6" s="15">
        <v>1.1203115983843046</v>
      </c>
      <c r="J6" s="15">
        <v>122464</v>
      </c>
      <c r="K6" s="15">
        <v>0.92737574040690185</v>
      </c>
      <c r="L6" s="15">
        <v>176495</v>
      </c>
      <c r="M6" s="15">
        <v>1.1021382949180782</v>
      </c>
      <c r="N6" s="15">
        <v>140981</v>
      </c>
      <c r="O6" s="15">
        <v>1.1996195323523484</v>
      </c>
      <c r="P6" s="15">
        <v>103550</v>
      </c>
      <c r="Q6" s="15">
        <v>2.9922181031495154</v>
      </c>
      <c r="R6" s="15">
        <v>177908</v>
      </c>
      <c r="S6" s="15">
        <v>1.8562448670162359</v>
      </c>
      <c r="T6" s="15">
        <f>28847+424481</f>
        <v>453328</v>
      </c>
      <c r="U6" s="15">
        <v>1.3663613072785199</v>
      </c>
      <c r="V6" s="15">
        <v>606332</v>
      </c>
      <c r="W6" s="12">
        <f>'2021'!C6/'2020'!V6</f>
        <v>1.1948569430608973</v>
      </c>
    </row>
    <row r="7" spans="1:23" ht="22.5" customHeight="1" x14ac:dyDescent="0.25">
      <c r="A7" s="24"/>
      <c r="B7" s="16" t="s">
        <v>16</v>
      </c>
      <c r="C7" s="15">
        <f>2705728+790908.77</f>
        <v>3496636.77</v>
      </c>
      <c r="D7" s="15">
        <f>2641016+724354.95</f>
        <v>3365370.95</v>
      </c>
      <c r="E7" s="15">
        <f>2329779+615140.77</f>
        <v>2944919.77</v>
      </c>
      <c r="F7" s="15">
        <f>1840640+581113.37</f>
        <v>2421753.37</v>
      </c>
      <c r="G7" s="15">
        <v>0.68710799103397957</v>
      </c>
      <c r="H7" s="15">
        <f>1296558+482891.96</f>
        <v>1779449.96</v>
      </c>
      <c r="I7" s="15">
        <v>1.0836056725667114</v>
      </c>
      <c r="J7" s="15">
        <f>1287583+513807.77</f>
        <v>1801390.77</v>
      </c>
      <c r="K7" s="15">
        <v>0.99065786209664408</v>
      </c>
      <c r="L7" s="15">
        <f>1447857+631097.43</f>
        <v>2078954.4300000002</v>
      </c>
      <c r="M7" s="15">
        <v>0.97083460220764295</v>
      </c>
      <c r="N7" s="15">
        <f>1361027+531043.5</f>
        <v>1892070.5</v>
      </c>
      <c r="O7" s="15">
        <v>1.0497695788300123</v>
      </c>
      <c r="P7" s="15">
        <f>1647473+565377</f>
        <v>2212850</v>
      </c>
      <c r="Q7" s="15">
        <v>1.1899154200098245</v>
      </c>
      <c r="R7" s="15">
        <f>1916199+570832.4</f>
        <v>2487031.4</v>
      </c>
      <c r="S7" s="15">
        <v>1.1265565377265749</v>
      </c>
      <c r="T7" s="15">
        <f>2386658+44419+638144</f>
        <v>3069221</v>
      </c>
      <c r="U7" s="15">
        <v>1.1406042867348962</v>
      </c>
      <c r="V7" s="15">
        <f>2763909+756098.65</f>
        <v>3520007.65</v>
      </c>
      <c r="W7" s="12">
        <f>'2021'!C7/'2020'!V7</f>
        <v>0.78000114573614632</v>
      </c>
    </row>
    <row r="8" spans="1:23" ht="22.5" customHeight="1" x14ac:dyDescent="0.25">
      <c r="A8" s="24"/>
      <c r="B8" s="16" t="s">
        <v>17</v>
      </c>
      <c r="C8" s="15">
        <f>1068894+209081.38</f>
        <v>1277975.3799999999</v>
      </c>
      <c r="D8" s="15">
        <f>1075223+180103.03</f>
        <v>1255326.03</v>
      </c>
      <c r="E8" s="15">
        <f>960087+167879.5</f>
        <v>1127966.5</v>
      </c>
      <c r="F8" s="15">
        <f>741751+115811.3</f>
        <v>857562.3</v>
      </c>
      <c r="G8" s="15">
        <v>0.87044598118146721</v>
      </c>
      <c r="H8" s="15">
        <f>698945+86243.49</f>
        <v>785188.49</v>
      </c>
      <c r="I8" s="15">
        <v>1.0319644525527139</v>
      </c>
      <c r="J8" s="15">
        <f>713553+100519.1</f>
        <v>814072.1</v>
      </c>
      <c r="K8" s="15">
        <v>1.0130319093167421</v>
      </c>
      <c r="L8" s="15">
        <f>791158+156175.27</f>
        <v>947333.27</v>
      </c>
      <c r="M8" s="15">
        <v>0.94581728102774487</v>
      </c>
      <c r="N8" s="15">
        <f>734869+152003.4</f>
        <v>886872.4</v>
      </c>
      <c r="O8" s="15">
        <v>0.97780515963500592</v>
      </c>
      <c r="P8" s="15">
        <f>787860+158311</f>
        <v>946171</v>
      </c>
      <c r="Q8" s="15">
        <v>1.1348314234217329</v>
      </c>
      <c r="R8" s="15">
        <f>870727+143315.07</f>
        <v>1014042.0700000001</v>
      </c>
      <c r="S8" s="15">
        <v>1.069377368378295</v>
      </c>
      <c r="T8" s="15">
        <f>1038505+3942+151539</f>
        <v>1193986</v>
      </c>
      <c r="U8" s="15">
        <v>1.0433113735436383</v>
      </c>
      <c r="V8" s="15">
        <f>1105529+179252.02</f>
        <v>1284781.02</v>
      </c>
      <c r="W8" s="12">
        <f>'2021'!C8/'2020'!V8</f>
        <v>0.83378566722599934</v>
      </c>
    </row>
    <row r="9" spans="1:23" ht="22.5" customHeight="1" x14ac:dyDescent="0.25">
      <c r="A9" s="24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1:23" ht="22.5" customHeight="1" x14ac:dyDescent="0.25">
      <c r="A10" s="24"/>
      <c r="B10" s="17"/>
      <c r="C10" s="15">
        <f>2494530+22026.85</f>
        <v>2516556.85</v>
      </c>
      <c r="D10" s="15">
        <f>2401178+22484.02</f>
        <v>2423662.02</v>
      </c>
      <c r="E10" s="15">
        <f>2209775+18113.73</f>
        <v>2227888.73</v>
      </c>
      <c r="F10" s="15">
        <f>2271664+13370.33</f>
        <v>2285034.33</v>
      </c>
      <c r="G10" s="15">
        <v>1.0614003459480712</v>
      </c>
      <c r="H10" s="15">
        <f>2637272+11167.55</f>
        <v>2648439.5499999998</v>
      </c>
      <c r="I10" s="15">
        <v>0.94693528823616191</v>
      </c>
      <c r="J10" s="15">
        <f>2466848+11035.13</f>
        <v>2477883.13</v>
      </c>
      <c r="K10" s="15">
        <v>1.0487678196414068</v>
      </c>
      <c r="L10" s="15">
        <f>2451489+10298.3</f>
        <v>2461787.2999999998</v>
      </c>
      <c r="M10" s="15">
        <v>0.95873284689302452</v>
      </c>
      <c r="N10" s="15">
        <f>2419448+9767.1</f>
        <v>2429215.1</v>
      </c>
      <c r="O10" s="15">
        <v>1.0720197554308148</v>
      </c>
      <c r="P10" s="15">
        <f>2385575+10264</f>
        <v>2395839</v>
      </c>
      <c r="Q10" s="15">
        <v>1.0084062640267579</v>
      </c>
      <c r="R10" s="15">
        <f>2453876+13055.53</f>
        <v>2466931.5299999998</v>
      </c>
      <c r="S10" s="15">
        <v>0.96292287569646551</v>
      </c>
      <c r="T10" s="15">
        <f>239802+2116710+6123</f>
        <v>2362635</v>
      </c>
      <c r="U10" s="15">
        <v>0.97806313127628652</v>
      </c>
      <c r="V10" s="15">
        <f>2615612+10327.33</f>
        <v>2625939.33</v>
      </c>
      <c r="W10" s="12">
        <f>'2021'!C10/'2020'!V10</f>
        <v>1.0243446865925878</v>
      </c>
    </row>
    <row r="11" spans="1:23" ht="22.5" customHeight="1" x14ac:dyDescent="0.25">
      <c r="A11" s="20" t="s">
        <v>18</v>
      </c>
      <c r="B11" s="21"/>
      <c r="C11" s="9">
        <f t="shared" ref="C11:V11" si="0">SUM(C5:C8,C10)</f>
        <v>81208445.999999985</v>
      </c>
      <c r="D11" s="9">
        <f t="shared" si="0"/>
        <v>74120631</v>
      </c>
      <c r="E11" s="9">
        <f t="shared" si="0"/>
        <v>74720039</v>
      </c>
      <c r="F11" s="9">
        <f t="shared" si="0"/>
        <v>64953411.999999993</v>
      </c>
      <c r="G11" s="9"/>
      <c r="H11" s="9">
        <f t="shared" si="0"/>
        <v>59540124</v>
      </c>
      <c r="I11" s="9"/>
      <c r="J11" s="9">
        <f t="shared" si="0"/>
        <v>55442577.000000007</v>
      </c>
      <c r="K11" s="9"/>
      <c r="L11" s="9">
        <f t="shared" si="0"/>
        <v>61512093</v>
      </c>
      <c r="M11" s="9"/>
      <c r="N11" s="9">
        <f t="shared" si="0"/>
        <v>67397865</v>
      </c>
      <c r="O11" s="9"/>
      <c r="P11" s="9">
        <f t="shared" si="0"/>
        <v>70187912</v>
      </c>
      <c r="Q11" s="9"/>
      <c r="R11" s="9">
        <f t="shared" si="0"/>
        <v>69070364</v>
      </c>
      <c r="S11" s="9"/>
      <c r="T11" s="9">
        <f t="shared" si="0"/>
        <v>72296367</v>
      </c>
      <c r="U11" s="9"/>
      <c r="V11" s="9">
        <f t="shared" si="0"/>
        <v>83649300</v>
      </c>
    </row>
    <row r="12" spans="1:23" s="10" customFormat="1" ht="22.5" customHeight="1" x14ac:dyDescent="0.2">
      <c r="A12" s="20" t="s">
        <v>20</v>
      </c>
      <c r="B12" s="21"/>
      <c r="C12" s="9">
        <f>C11</f>
        <v>81208445.999999985</v>
      </c>
      <c r="D12" s="9">
        <f t="shared" ref="D12:V12" si="1">D11</f>
        <v>74120631</v>
      </c>
      <c r="E12" s="9">
        <f t="shared" si="1"/>
        <v>74720039</v>
      </c>
      <c r="F12" s="9">
        <f t="shared" si="1"/>
        <v>64953411.999999993</v>
      </c>
      <c r="G12" s="9"/>
      <c r="H12" s="9">
        <f t="shared" si="1"/>
        <v>59540124</v>
      </c>
      <c r="I12" s="9"/>
      <c r="J12" s="9">
        <f t="shared" si="1"/>
        <v>55442577.000000007</v>
      </c>
      <c r="K12" s="9"/>
      <c r="L12" s="9">
        <f t="shared" si="1"/>
        <v>61512093</v>
      </c>
      <c r="M12" s="9"/>
      <c r="N12" s="9">
        <f t="shared" si="1"/>
        <v>67397865</v>
      </c>
      <c r="O12" s="9"/>
      <c r="P12" s="9">
        <f t="shared" si="1"/>
        <v>70187912</v>
      </c>
      <c r="Q12" s="9"/>
      <c r="R12" s="9">
        <f t="shared" si="1"/>
        <v>69070364</v>
      </c>
      <c r="S12" s="9"/>
      <c r="T12" s="9">
        <f t="shared" si="1"/>
        <v>72296367</v>
      </c>
      <c r="U12" s="9"/>
      <c r="V12" s="9">
        <f t="shared" si="1"/>
        <v>83649300</v>
      </c>
      <c r="W12" s="14"/>
    </row>
  </sheetData>
  <mergeCells count="6">
    <mergeCell ref="A12:B12"/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zoomScale="70" zoomScaleNormal="70" workbookViewId="0">
      <selection activeCell="AH10" sqref="AH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9.5703125" style="1" customWidth="1"/>
    <col min="4" max="4" width="19.5703125" style="1" hidden="1" customWidth="1"/>
    <col min="5" max="5" width="19.5703125" style="1" customWidth="1"/>
    <col min="6" max="6" width="19.5703125" style="1" hidden="1" customWidth="1"/>
    <col min="7" max="7" width="19.5703125" style="1" customWidth="1"/>
    <col min="8" max="8" width="19.5703125" style="1" hidden="1" customWidth="1"/>
    <col min="9" max="9" width="19.5703125" style="1" customWidth="1"/>
    <col min="10" max="11" width="19.5703125" style="1" hidden="1" customWidth="1"/>
    <col min="12" max="12" width="19.5703125" style="1" customWidth="1"/>
    <col min="13" max="14" width="19.5703125" style="1" hidden="1" customWidth="1"/>
    <col min="15" max="15" width="19.5703125" style="1" customWidth="1"/>
    <col min="16" max="17" width="19.5703125" style="1" hidden="1" customWidth="1"/>
    <col min="18" max="18" width="19.5703125" style="1" customWidth="1"/>
    <col min="19" max="20" width="19.5703125" style="1" hidden="1" customWidth="1"/>
    <col min="21" max="21" width="19.5703125" style="1" customWidth="1"/>
    <col min="22" max="23" width="19.5703125" style="1" hidden="1" customWidth="1"/>
    <col min="24" max="24" width="19.5703125" style="1" customWidth="1"/>
    <col min="25" max="26" width="19.5703125" style="1" hidden="1" customWidth="1"/>
    <col min="27" max="27" width="19.5703125" style="1" customWidth="1"/>
    <col min="28" max="29" width="19.5703125" style="1" hidden="1" customWidth="1"/>
    <col min="30" max="30" width="19.5703125" style="1" customWidth="1"/>
    <col min="31" max="32" width="19.5703125" style="1" hidden="1" customWidth="1"/>
    <col min="33" max="33" width="19.5703125" style="1" customWidth="1"/>
    <col min="34" max="34" width="9.140625" style="12"/>
    <col min="35" max="16384" width="9.140625" style="1"/>
  </cols>
  <sheetData>
    <row r="2" spans="1:34" ht="42.75" customHeight="1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4" s="5" customFormat="1" ht="33" customHeight="1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  <c r="AH3" s="13"/>
    </row>
    <row r="4" spans="1:34" ht="22.5" customHeight="1" x14ac:dyDescent="0.25">
      <c r="A4" s="23" t="s">
        <v>34</v>
      </c>
      <c r="B4" s="25" t="s">
        <v>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</row>
    <row r="5" spans="1:34" ht="22.5" customHeight="1" x14ac:dyDescent="0.25">
      <c r="A5" s="24"/>
      <c r="B5" s="16" t="s">
        <v>14</v>
      </c>
      <c r="C5" s="15">
        <v>76017235</v>
      </c>
      <c r="D5" s="15">
        <v>0.90882786163853158</v>
      </c>
      <c r="E5" s="15">
        <v>72709615</v>
      </c>
      <c r="F5" s="15">
        <v>1.0207929066806178</v>
      </c>
      <c r="G5" s="15">
        <v>75941215</v>
      </c>
      <c r="H5" s="15">
        <v>0.86886495636604899</v>
      </c>
      <c r="I5" s="15">
        <v>67174541</v>
      </c>
      <c r="J5" s="15"/>
      <c r="K5" s="15">
        <v>0.91775070548441318</v>
      </c>
      <c r="L5" s="15">
        <v>65551454</v>
      </c>
      <c r="M5" s="15"/>
      <c r="N5" s="15">
        <v>0.92828275948933581</v>
      </c>
      <c r="O5" s="15">
        <v>63989645</v>
      </c>
      <c r="P5" s="15"/>
      <c r="Q5" s="15">
        <v>1.1119075810712642</v>
      </c>
      <c r="R5" s="15">
        <v>64433636</v>
      </c>
      <c r="S5" s="15"/>
      <c r="T5" s="15">
        <v>1.1110381028000114</v>
      </c>
      <c r="U5" s="15">
        <v>63422905</v>
      </c>
      <c r="V5" s="15"/>
      <c r="W5" s="15">
        <v>1.0399810948576125</v>
      </c>
      <c r="X5" s="15">
        <v>60496099</v>
      </c>
      <c r="Y5" s="15"/>
      <c r="Z5" s="15">
        <v>0.97512686522824865</v>
      </c>
      <c r="AA5" s="15">
        <v>68734847</v>
      </c>
      <c r="AB5" s="15"/>
      <c r="AC5" s="15">
        <v>1.0364364879401173</v>
      </c>
      <c r="AD5" s="15">
        <v>70479231</v>
      </c>
      <c r="AE5" s="15"/>
      <c r="AF5" s="15">
        <v>1.1593911342126526</v>
      </c>
      <c r="AG5" s="15">
        <v>77296035</v>
      </c>
      <c r="AH5" s="12">
        <f>'2022'!D5/'2021'!AG5</f>
        <v>0.98424793716779913</v>
      </c>
    </row>
    <row r="6" spans="1:34" ht="22.5" customHeight="1" x14ac:dyDescent="0.25">
      <c r="A6" s="24"/>
      <c r="B6" s="16" t="s">
        <v>15</v>
      </c>
      <c r="C6" s="15">
        <v>724480</v>
      </c>
      <c r="D6" s="15">
        <v>0.77774143955995845</v>
      </c>
      <c r="E6" s="15">
        <v>608187</v>
      </c>
      <c r="F6" s="15">
        <v>0.93517108251826053</v>
      </c>
      <c r="G6" s="15">
        <v>637112</v>
      </c>
      <c r="H6" s="15">
        <v>0.76611899581678844</v>
      </c>
      <c r="I6" s="15">
        <v>190909</v>
      </c>
      <c r="J6" s="15"/>
      <c r="K6" s="15">
        <v>0.5080401975215072</v>
      </c>
      <c r="L6" s="15">
        <v>68516</v>
      </c>
      <c r="M6" s="15"/>
      <c r="N6" s="15">
        <v>0.55700647227111677</v>
      </c>
      <c r="O6" s="15">
        <v>136600</v>
      </c>
      <c r="P6" s="15"/>
      <c r="Q6" s="15">
        <v>1.4411990462503266</v>
      </c>
      <c r="R6" s="15">
        <v>93745</v>
      </c>
      <c r="S6" s="15"/>
      <c r="T6" s="15">
        <v>0.79878183517946688</v>
      </c>
      <c r="U6" s="15">
        <v>182143</v>
      </c>
      <c r="V6" s="15"/>
      <c r="W6" s="15">
        <v>0.73449613777743095</v>
      </c>
      <c r="X6" s="15">
        <v>120773</v>
      </c>
      <c r="Y6" s="15"/>
      <c r="Z6" s="15">
        <v>1.7180878802510864</v>
      </c>
      <c r="AA6" s="15">
        <v>333775</v>
      </c>
      <c r="AB6" s="15"/>
      <c r="AC6" s="15">
        <v>2.5481035141758661</v>
      </c>
      <c r="AD6" s="15">
        <v>294196</v>
      </c>
      <c r="AE6" s="15"/>
      <c r="AF6" s="15">
        <v>1.3375127942681679</v>
      </c>
      <c r="AG6" s="15">
        <v>581388</v>
      </c>
      <c r="AH6" s="12">
        <f>'2022'!D6/'2021'!AG6</f>
        <v>1.316334358466291</v>
      </c>
    </row>
    <row r="7" spans="1:34" ht="22.5" customHeight="1" x14ac:dyDescent="0.25">
      <c r="A7" s="24"/>
      <c r="B7" s="16" t="s">
        <v>16</v>
      </c>
      <c r="C7" s="15">
        <v>2745610</v>
      </c>
      <c r="D7" s="15">
        <v>0.96245940638552518</v>
      </c>
      <c r="E7" s="15">
        <f>2572556+689083.57</f>
        <v>3261639.57</v>
      </c>
      <c r="F7" s="15">
        <v>0.87506542777995988</v>
      </c>
      <c r="G7" s="15">
        <f>2476097+633185.43</f>
        <v>3109282.43</v>
      </c>
      <c r="H7" s="15">
        <v>0.82234952363405134</v>
      </c>
      <c r="I7" s="15">
        <f>1937301+659044.32</f>
        <v>2596345.3199999998</v>
      </c>
      <c r="J7" s="15"/>
      <c r="K7" s="15">
        <v>0.73477753021563874</v>
      </c>
      <c r="L7" s="15">
        <f>1603121+567767.72</f>
        <v>2170888.7199999997</v>
      </c>
      <c r="M7" s="15"/>
      <c r="N7" s="15">
        <v>1.0123301078946889</v>
      </c>
      <c r="O7" s="15">
        <f>1592016+645118.44</f>
        <v>2237134.44</v>
      </c>
      <c r="P7" s="15"/>
      <c r="Q7" s="15">
        <v>1.1540829811179727</v>
      </c>
      <c r="R7" s="15">
        <f>1813040+746050.17</f>
        <v>2559090.17</v>
      </c>
      <c r="S7" s="15"/>
      <c r="T7" s="15">
        <v>0.91010676939176571</v>
      </c>
      <c r="U7" s="15">
        <f>1672804+675990.81</f>
        <v>2348794.81</v>
      </c>
      <c r="V7" s="15"/>
      <c r="W7" s="15">
        <v>1.1695388728908358</v>
      </c>
      <c r="X7" s="15">
        <f>1620707+592558.24</f>
        <v>2213265.2400000002</v>
      </c>
      <c r="Y7" s="15"/>
      <c r="Z7" s="15">
        <v>1.123904195946404</v>
      </c>
      <c r="AA7" s="15">
        <f>2061346+601739.31</f>
        <v>2663085.31</v>
      </c>
      <c r="AB7" s="15"/>
      <c r="AC7" s="15">
        <v>1.2340901687047459</v>
      </c>
      <c r="AD7" s="15">
        <f>2482554+666880.4</f>
        <v>3149434.4</v>
      </c>
      <c r="AE7" s="15"/>
      <c r="AF7" s="15">
        <v>1.1468733108498865</v>
      </c>
      <c r="AG7" s="15">
        <f>2633848+746065.57</f>
        <v>3379913.57</v>
      </c>
      <c r="AH7" s="12">
        <f>'2022'!D7/'2021'!AG7</f>
        <v>1.0628937887308167</v>
      </c>
    </row>
    <row r="8" spans="1:34" ht="22.5" customHeight="1" x14ac:dyDescent="0.25">
      <c r="A8" s="24"/>
      <c r="B8" s="16" t="s">
        <v>17</v>
      </c>
      <c r="C8" s="15">
        <v>1071232</v>
      </c>
      <c r="D8" s="15">
        <v>0.9822771624911899</v>
      </c>
      <c r="E8" s="15">
        <f>1069537+172111.38</f>
        <v>1241648.3799999999</v>
      </c>
      <c r="F8" s="15">
        <v>0.89854465935036809</v>
      </c>
      <c r="G8" s="15">
        <f>996681+148847.17</f>
        <v>1145528.17</v>
      </c>
      <c r="H8" s="15">
        <v>0.76027284498254166</v>
      </c>
      <c r="I8" s="15">
        <f>877101+149408.53</f>
        <v>1026509.53</v>
      </c>
      <c r="J8" s="15"/>
      <c r="K8" s="15">
        <v>0.91560518693510662</v>
      </c>
      <c r="L8" s="15">
        <f>716251+149213.95</f>
        <v>865464.95</v>
      </c>
      <c r="M8" s="15"/>
      <c r="N8" s="15">
        <v>1.0367855748878845</v>
      </c>
      <c r="O8" s="15">
        <f>783365+170404.16</f>
        <v>953769.16</v>
      </c>
      <c r="P8" s="15"/>
      <c r="Q8" s="15">
        <v>1.1636970116037635</v>
      </c>
      <c r="R8" s="15">
        <f>844683+183332.48</f>
        <v>1028015.48</v>
      </c>
      <c r="S8" s="15"/>
      <c r="T8" s="15">
        <v>0.93617782472687783</v>
      </c>
      <c r="U8" s="15">
        <f>828857+174910.54</f>
        <v>1003767.54</v>
      </c>
      <c r="V8" s="15"/>
      <c r="W8" s="15">
        <v>1.066862606165216</v>
      </c>
      <c r="X8" s="15">
        <f>784999+153826.53</f>
        <v>938825.53</v>
      </c>
      <c r="Y8" s="15"/>
      <c r="Z8" s="15">
        <v>1.071732350706162</v>
      </c>
      <c r="AA8" s="15">
        <f>884334+149946.81</f>
        <v>1034280.81</v>
      </c>
      <c r="AB8" s="15"/>
      <c r="AC8" s="15">
        <v>1.177452134702853</v>
      </c>
      <c r="AD8" s="15">
        <f>984475+160433.22</f>
        <v>1144908.22</v>
      </c>
      <c r="AE8" s="15"/>
      <c r="AF8" s="15">
        <v>1.0760436219520162</v>
      </c>
      <c r="AG8" s="15">
        <f>973989+155248.98</f>
        <v>1129237.98</v>
      </c>
      <c r="AH8" s="12">
        <f>'2022'!D8/'2021'!AG8</f>
        <v>0.93584525911889715</v>
      </c>
    </row>
    <row r="9" spans="1:34" ht="22.5" customHeight="1" x14ac:dyDescent="0.25">
      <c r="A9" s="24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/>
    </row>
    <row r="10" spans="1:34" ht="22.5" customHeight="1" x14ac:dyDescent="0.25">
      <c r="A10" s="24"/>
      <c r="B10" s="17"/>
      <c r="C10" s="15">
        <v>2689867</v>
      </c>
      <c r="D10" s="15">
        <v>0.96308653627276486</v>
      </c>
      <c r="E10" s="15">
        <f>2587000+9053.05</f>
        <v>2596053.0499999998</v>
      </c>
      <c r="F10" s="15">
        <v>0.91922417879040741</v>
      </c>
      <c r="G10" s="15">
        <f>2441148+10212</f>
        <v>2451360</v>
      </c>
      <c r="H10" s="15">
        <v>1.0256501140431731</v>
      </c>
      <c r="I10" s="15">
        <f>2177503+6470.08</f>
        <v>2183973.08</v>
      </c>
      <c r="J10" s="15"/>
      <c r="K10" s="15">
        <v>1.1590370942041819</v>
      </c>
      <c r="L10" s="15">
        <f>2558874+4499.33</f>
        <v>2563373.33</v>
      </c>
      <c r="M10" s="15"/>
      <c r="N10" s="15">
        <v>0.93560116559956974</v>
      </c>
      <c r="O10" s="15">
        <f>2320117+3441.4</f>
        <v>2323558.3999999999</v>
      </c>
      <c r="P10" s="15"/>
      <c r="Q10" s="15">
        <v>0.99350420130589445</v>
      </c>
      <c r="R10" s="15">
        <f>2571904+4633.35</f>
        <v>2576537.35</v>
      </c>
      <c r="S10" s="15"/>
      <c r="T10" s="15">
        <v>0.98676888129205975</v>
      </c>
      <c r="U10" s="15">
        <f>2600476+3843.65</f>
        <v>2604319.65</v>
      </c>
      <c r="V10" s="15"/>
      <c r="W10" s="15">
        <v>0.98626054152223896</v>
      </c>
      <c r="X10" s="15">
        <f>2446076+2015+1582.6</f>
        <v>2449673.6</v>
      </c>
      <c r="Y10" s="15"/>
      <c r="Z10" s="15">
        <v>1.0296733336422021</v>
      </c>
      <c r="AA10" s="15">
        <f>2415608+4080.88</f>
        <v>2419688.88</v>
      </c>
      <c r="AB10" s="15"/>
      <c r="AC10" s="15">
        <v>0.95772216264145771</v>
      </c>
      <c r="AD10" s="15">
        <f>2589040+5039</f>
        <v>2594079</v>
      </c>
      <c r="AE10" s="15"/>
      <c r="AF10" s="15">
        <v>1.111445199956828</v>
      </c>
      <c r="AG10" s="15">
        <f>2412938+7815.45</f>
        <v>2420753.4500000002</v>
      </c>
      <c r="AH10" s="12">
        <f>'2022'!D10/'2021'!AG10</f>
        <v>1.1728967483243697</v>
      </c>
    </row>
    <row r="11" spans="1:34" ht="22.5" customHeight="1" x14ac:dyDescent="0.25">
      <c r="A11" s="20" t="s">
        <v>18</v>
      </c>
      <c r="B11" s="21"/>
      <c r="C11" s="9">
        <f t="shared" ref="C11:AG11" si="0">SUM(C5:C8,C10)</f>
        <v>83248424</v>
      </c>
      <c r="D11" s="9"/>
      <c r="E11" s="9">
        <f t="shared" si="0"/>
        <v>80417142.999999985</v>
      </c>
      <c r="F11" s="9"/>
      <c r="G11" s="9">
        <f t="shared" si="0"/>
        <v>83284497.600000009</v>
      </c>
      <c r="H11" s="9"/>
      <c r="I11" s="9">
        <f t="shared" si="0"/>
        <v>73172277.929999992</v>
      </c>
      <c r="J11" s="9"/>
      <c r="K11" s="9"/>
      <c r="L11" s="9">
        <f t="shared" si="0"/>
        <v>71219697</v>
      </c>
      <c r="M11" s="9"/>
      <c r="N11" s="9"/>
      <c r="O11" s="9">
        <f t="shared" si="0"/>
        <v>69640707</v>
      </c>
      <c r="P11" s="9"/>
      <c r="Q11" s="9"/>
      <c r="R11" s="9">
        <f t="shared" si="0"/>
        <v>70691024</v>
      </c>
      <c r="S11" s="9"/>
      <c r="T11" s="9"/>
      <c r="U11" s="9">
        <f t="shared" si="0"/>
        <v>69561930</v>
      </c>
      <c r="V11" s="9"/>
      <c r="W11" s="9"/>
      <c r="X11" s="9">
        <f t="shared" si="0"/>
        <v>66218636.370000005</v>
      </c>
      <c r="Y11" s="9"/>
      <c r="Z11" s="9"/>
      <c r="AA11" s="9">
        <f t="shared" si="0"/>
        <v>75185677</v>
      </c>
      <c r="AB11" s="9"/>
      <c r="AC11" s="9"/>
      <c r="AD11" s="9">
        <f t="shared" si="0"/>
        <v>77661848.620000005</v>
      </c>
      <c r="AE11" s="9"/>
      <c r="AF11" s="9"/>
      <c r="AG11" s="9">
        <f t="shared" si="0"/>
        <v>84807328</v>
      </c>
    </row>
    <row r="12" spans="1:34" s="10" customFormat="1" ht="22.5" customHeight="1" x14ac:dyDescent="0.2">
      <c r="A12" s="20" t="s">
        <v>20</v>
      </c>
      <c r="B12" s="21"/>
      <c r="C12" s="9">
        <f>C11</f>
        <v>83248424</v>
      </c>
      <c r="D12" s="9"/>
      <c r="E12" s="9">
        <f t="shared" ref="E12:AG12" si="1">E11</f>
        <v>80417142.999999985</v>
      </c>
      <c r="F12" s="9"/>
      <c r="G12" s="9">
        <f t="shared" si="1"/>
        <v>83284497.600000009</v>
      </c>
      <c r="H12" s="9"/>
      <c r="I12" s="9">
        <f t="shared" si="1"/>
        <v>73172277.929999992</v>
      </c>
      <c r="J12" s="9"/>
      <c r="K12" s="9"/>
      <c r="L12" s="9">
        <f t="shared" si="1"/>
        <v>71219697</v>
      </c>
      <c r="M12" s="9"/>
      <c r="N12" s="9"/>
      <c r="O12" s="9">
        <f t="shared" si="1"/>
        <v>69640707</v>
      </c>
      <c r="P12" s="9"/>
      <c r="Q12" s="9"/>
      <c r="R12" s="9">
        <f t="shared" si="1"/>
        <v>70691024</v>
      </c>
      <c r="S12" s="9"/>
      <c r="T12" s="9"/>
      <c r="U12" s="9">
        <f t="shared" si="1"/>
        <v>69561930</v>
      </c>
      <c r="V12" s="9"/>
      <c r="W12" s="9"/>
      <c r="X12" s="9">
        <f t="shared" si="1"/>
        <v>66218636.370000005</v>
      </c>
      <c r="Y12" s="9"/>
      <c r="Z12" s="9"/>
      <c r="AA12" s="9">
        <f t="shared" si="1"/>
        <v>75185677</v>
      </c>
      <c r="AB12" s="9"/>
      <c r="AC12" s="9"/>
      <c r="AD12" s="9">
        <f t="shared" si="1"/>
        <v>77661848.620000005</v>
      </c>
      <c r="AE12" s="9"/>
      <c r="AF12" s="9"/>
      <c r="AG12" s="9">
        <f t="shared" si="1"/>
        <v>84807328</v>
      </c>
      <c r="AH12" s="14"/>
    </row>
  </sheetData>
  <mergeCells count="6">
    <mergeCell ref="A12:B12"/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Рощин Игорь Сергеевич</cp:lastModifiedBy>
  <dcterms:created xsi:type="dcterms:W3CDTF">2013-11-13T16:10:49Z</dcterms:created>
  <dcterms:modified xsi:type="dcterms:W3CDTF">2025-01-23T09:22:28Z</dcterms:modified>
</cp:coreProperties>
</file>