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0" yWindow="15" windowWidth="25200" windowHeight="6420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N6" i="16" l="1"/>
  <c r="N5" i="16"/>
  <c r="M6" i="16" l="1"/>
  <c r="M5" i="16"/>
  <c r="L6" i="16" l="1"/>
  <c r="L5" i="16"/>
  <c r="K6" i="16" l="1"/>
  <c r="K5" i="16"/>
  <c r="J6" i="16" l="1"/>
  <c r="J5" i="16"/>
  <c r="I6" i="16" l="1"/>
  <c r="I5" i="16"/>
  <c r="H6" i="16" l="1"/>
  <c r="H5" i="16"/>
  <c r="G6" i="16" l="1"/>
  <c r="G5" i="16"/>
  <c r="F6" i="16" l="1"/>
  <c r="F5" i="16"/>
  <c r="E6" i="16" l="1"/>
  <c r="E5" i="16"/>
  <c r="D6" i="16" l="1"/>
  <c r="D5" i="16"/>
  <c r="C6" i="16" l="1"/>
  <c r="C5" i="16"/>
  <c r="N12" i="16"/>
  <c r="J12" i="16"/>
  <c r="F12" i="16"/>
  <c r="M12" i="16"/>
  <c r="L12" i="16"/>
  <c r="K12" i="16"/>
  <c r="I12" i="16"/>
  <c r="H12" i="16"/>
  <c r="G12" i="16"/>
  <c r="E12" i="16"/>
  <c r="D12" i="16"/>
  <c r="C12" i="16"/>
  <c r="N6" i="15" l="1"/>
  <c r="N5" i="15"/>
  <c r="M6" i="15" l="1"/>
  <c r="M5" i="15"/>
  <c r="L6" i="15" l="1"/>
  <c r="L5" i="15"/>
  <c r="K11" i="15" l="1"/>
  <c r="K6" i="15"/>
  <c r="K5" i="15" l="1"/>
  <c r="J6" i="15" l="1"/>
  <c r="J5" i="15"/>
  <c r="I6" i="15" l="1"/>
  <c r="I5" i="15"/>
  <c r="H6" i="15" l="1"/>
  <c r="H5" i="15"/>
  <c r="G6" i="15" l="1"/>
  <c r="G5" i="15"/>
  <c r="F6" i="15" l="1"/>
  <c r="F5" i="15"/>
  <c r="E6" i="15" l="1"/>
  <c r="E5" i="15"/>
  <c r="D6" i="15" l="1"/>
  <c r="D5" i="15"/>
  <c r="C6" i="15" l="1"/>
  <c r="C5" i="15"/>
  <c r="AH11" i="13" l="1"/>
  <c r="AH9" i="13"/>
  <c r="AH8" i="13"/>
  <c r="AH7" i="13"/>
  <c r="AH6" i="13"/>
  <c r="AH5" i="13"/>
  <c r="N12" i="15"/>
  <c r="J12" i="15"/>
  <c r="F12" i="15"/>
  <c r="M12" i="15"/>
  <c r="L12" i="15"/>
  <c r="K12" i="15"/>
  <c r="I12" i="15"/>
  <c r="H12" i="15"/>
  <c r="G12" i="15"/>
  <c r="E12" i="15"/>
  <c r="D12" i="15"/>
  <c r="C12" i="15"/>
  <c r="AS6" i="14" l="1"/>
  <c r="AS5" i="14"/>
  <c r="AO6" i="14" l="1"/>
  <c r="AO5" i="14"/>
  <c r="AK6" i="14" l="1"/>
  <c r="AK5" i="14"/>
  <c r="AG8" i="14" l="1"/>
  <c r="AG6" i="14"/>
  <c r="AG5" i="14"/>
  <c r="AC6" i="14" l="1"/>
  <c r="AC5" i="14"/>
  <c r="Y6" i="14" l="1"/>
  <c r="Y5" i="14"/>
  <c r="U6" i="14" l="1"/>
  <c r="U5" i="14"/>
  <c r="Q6" i="14" l="1"/>
  <c r="Q5" i="14"/>
  <c r="M6" i="14" l="1"/>
  <c r="M5" i="14"/>
  <c r="J6" i="14" l="1"/>
  <c r="J5" i="14"/>
  <c r="G6" i="14" l="1"/>
  <c r="G5" i="14"/>
  <c r="D6" i="14" l="1"/>
  <c r="D5" i="14"/>
  <c r="W10" i="12" l="1"/>
  <c r="W8" i="12"/>
  <c r="W7" i="12"/>
  <c r="W6" i="12"/>
  <c r="W5" i="12"/>
  <c r="AK12" i="14"/>
  <c r="AG12" i="14"/>
  <c r="U12" i="14"/>
  <c r="Q12" i="14"/>
  <c r="G12" i="14"/>
  <c r="D12" i="14"/>
  <c r="AS12" i="14"/>
  <c r="AO12" i="14"/>
  <c r="AC12" i="14"/>
  <c r="Y12" i="14"/>
  <c r="M12" i="14"/>
  <c r="J12" i="14"/>
  <c r="AG6" i="13" l="1"/>
  <c r="AG5" i="13"/>
  <c r="AF7" i="13"/>
  <c r="AD6" i="13"/>
  <c r="AD5" i="13"/>
  <c r="AC7" i="13"/>
  <c r="AA6" i="13"/>
  <c r="AA5" i="13"/>
  <c r="Z7" i="13"/>
  <c r="X6" i="13"/>
  <c r="X5" i="13"/>
  <c r="W7" i="13"/>
  <c r="U6" i="13"/>
  <c r="U5" i="13"/>
  <c r="T7" i="13"/>
  <c r="R6" i="13"/>
  <c r="R5" i="13"/>
  <c r="Q7" i="13"/>
  <c r="O6" i="13"/>
  <c r="O5" i="13"/>
  <c r="N7" i="13"/>
  <c r="L6" i="13"/>
  <c r="L5" i="13"/>
  <c r="K9" i="13"/>
  <c r="I6" i="13"/>
  <c r="I5" i="13"/>
  <c r="H7" i="13"/>
  <c r="G6" i="13"/>
  <c r="G5" i="13"/>
  <c r="F7" i="13"/>
  <c r="E6" i="13"/>
  <c r="C6" i="13"/>
  <c r="E5" i="13"/>
  <c r="E12" i="13"/>
  <c r="C5" i="13"/>
  <c r="V5" i="12"/>
  <c r="X12" i="13"/>
  <c r="L12" i="13"/>
  <c r="C12" i="13"/>
  <c r="AG12" i="13"/>
  <c r="AD12" i="13"/>
  <c r="AA12" i="13"/>
  <c r="U12" i="13"/>
  <c r="R12" i="13"/>
  <c r="O12" i="13"/>
  <c r="I12" i="13"/>
  <c r="G12" i="13"/>
  <c r="V8" i="12"/>
  <c r="V7" i="12"/>
  <c r="V6" i="12"/>
  <c r="O10" i="11"/>
  <c r="O8" i="11"/>
  <c r="O7" i="11"/>
  <c r="O6" i="11"/>
  <c r="O5" i="11"/>
  <c r="T6" i="12"/>
  <c r="T5" i="12"/>
  <c r="R7" i="12"/>
  <c r="R5" i="12"/>
  <c r="P6" i="12"/>
  <c r="P5" i="12"/>
  <c r="N6" i="12"/>
  <c r="N5" i="12"/>
  <c r="L6" i="12"/>
  <c r="L5" i="12"/>
  <c r="J6" i="12"/>
  <c r="J5" i="12"/>
  <c r="H6" i="12"/>
  <c r="H5" i="12"/>
  <c r="F6" i="12"/>
  <c r="F5" i="12"/>
  <c r="Q5" i="11"/>
  <c r="E6" i="12"/>
  <c r="E5" i="12"/>
  <c r="D6" i="12"/>
  <c r="D5" i="12"/>
  <c r="Q6" i="11"/>
  <c r="Q7" i="11"/>
  <c r="Q8" i="11"/>
  <c r="Q10" i="11"/>
  <c r="C7" i="12"/>
  <c r="C5" i="12"/>
  <c r="V11" i="12"/>
  <c r="T11" i="12"/>
  <c r="R11" i="12"/>
  <c r="P11" i="12"/>
  <c r="N11" i="12"/>
  <c r="L11" i="12"/>
  <c r="J11" i="12"/>
  <c r="H11" i="12"/>
  <c r="F11" i="12"/>
  <c r="E11" i="12"/>
  <c r="D11" i="12"/>
  <c r="C11" i="12"/>
  <c r="N6" i="11"/>
  <c r="N5" i="11"/>
  <c r="M6" i="11"/>
  <c r="M5" i="11"/>
  <c r="L11" i="11"/>
  <c r="L6" i="11"/>
  <c r="L5" i="11"/>
  <c r="K6" i="11"/>
  <c r="K5" i="11"/>
  <c r="J6" i="11"/>
  <c r="J5" i="11"/>
  <c r="I6" i="11"/>
  <c r="I5" i="11"/>
  <c r="H6" i="11"/>
  <c r="H5" i="11"/>
  <c r="G6" i="11"/>
  <c r="G5" i="11"/>
  <c r="F6" i="11"/>
  <c r="F5" i="11"/>
  <c r="E6" i="11"/>
  <c r="E5" i="11"/>
  <c r="D6" i="11"/>
  <c r="D5" i="11"/>
  <c r="C6" i="11"/>
  <c r="C5" i="11"/>
  <c r="F11" i="11"/>
  <c r="E11" i="11"/>
  <c r="C11" i="11"/>
  <c r="N11" i="11"/>
  <c r="M11" i="11"/>
  <c r="J11" i="11"/>
  <c r="I11" i="11"/>
  <c r="K11" i="11"/>
  <c r="H11" i="11"/>
  <c r="G11" i="11"/>
  <c r="D11" i="11"/>
  <c r="N6" i="10"/>
  <c r="N5" i="10"/>
  <c r="M6" i="10"/>
  <c r="M5" i="10"/>
  <c r="L6" i="10"/>
  <c r="L5" i="10"/>
  <c r="K6" i="10"/>
  <c r="K5" i="10"/>
  <c r="J6" i="10"/>
  <c r="J5" i="10"/>
  <c r="I6" i="10"/>
  <c r="I5" i="10"/>
  <c r="H11" i="10"/>
  <c r="H8" i="10"/>
  <c r="H7" i="10"/>
  <c r="H6" i="10"/>
  <c r="H5" i="10"/>
  <c r="G6" i="10"/>
  <c r="G5" i="10"/>
  <c r="G11" i="10"/>
  <c r="F7" i="10"/>
  <c r="F5" i="10"/>
  <c r="E11" i="10"/>
  <c r="E6" i="10"/>
  <c r="E5" i="10"/>
  <c r="D7" i="10"/>
  <c r="D6" i="10"/>
  <c r="D5" i="10"/>
  <c r="N11" i="10"/>
  <c r="M11" i="10"/>
  <c r="J11" i="10"/>
  <c r="I11" i="10"/>
  <c r="D11" i="10"/>
  <c r="C11" i="10"/>
  <c r="F11" i="10"/>
  <c r="K11" i="10"/>
  <c r="L11" i="10"/>
  <c r="N6" i="9"/>
  <c r="N5" i="9"/>
  <c r="L11" i="9"/>
  <c r="M11" i="9"/>
  <c r="N11" i="9"/>
  <c r="F11" i="9"/>
  <c r="K11" i="9"/>
  <c r="H11" i="9"/>
  <c r="I11" i="9"/>
  <c r="J11" i="9"/>
  <c r="M6" i="9"/>
  <c r="M5" i="9"/>
  <c r="L6" i="9"/>
  <c r="L5" i="9"/>
  <c r="K6" i="9"/>
  <c r="K5" i="9"/>
  <c r="J6" i="9"/>
  <c r="J5" i="9"/>
  <c r="I5" i="9"/>
  <c r="I6" i="9"/>
  <c r="H8" i="9"/>
  <c r="H7" i="9"/>
  <c r="H6" i="9"/>
  <c r="H5" i="9"/>
  <c r="G8" i="9"/>
  <c r="G7" i="9"/>
  <c r="G6" i="9"/>
  <c r="G5" i="9"/>
  <c r="G11" i="9"/>
  <c r="F7" i="9"/>
  <c r="F6" i="9"/>
  <c r="F8" i="9"/>
  <c r="F5" i="9"/>
  <c r="C11" i="8"/>
  <c r="E11" i="9"/>
  <c r="D11" i="9"/>
  <c r="C11" i="9"/>
  <c r="D11" i="8"/>
  <c r="L11" i="8"/>
  <c r="K11" i="8"/>
  <c r="J11" i="8"/>
  <c r="I11" i="8"/>
  <c r="H11" i="8"/>
  <c r="G11" i="8"/>
  <c r="F11" i="8"/>
  <c r="E11" i="8"/>
  <c r="N11" i="8"/>
  <c r="M11" i="8"/>
  <c r="N8" i="7"/>
  <c r="N7" i="7"/>
  <c r="N6" i="7"/>
  <c r="N5" i="7"/>
  <c r="N11" i="7"/>
  <c r="M8" i="7"/>
  <c r="M7" i="7"/>
  <c r="M6" i="7"/>
  <c r="M5" i="7"/>
  <c r="M11" i="7"/>
  <c r="K11" i="7"/>
  <c r="L11" i="7"/>
  <c r="H11" i="7"/>
  <c r="F11" i="7"/>
  <c r="C11" i="7"/>
  <c r="D11" i="7"/>
  <c r="E11" i="7"/>
  <c r="G11" i="7"/>
  <c r="I11" i="7"/>
  <c r="J11" i="7"/>
  <c r="D11" i="6"/>
  <c r="E11" i="6"/>
  <c r="F11" i="6"/>
  <c r="G11" i="6"/>
  <c r="H11" i="6"/>
  <c r="I11" i="6"/>
  <c r="J11" i="6"/>
  <c r="K11" i="6"/>
  <c r="L11" i="6"/>
  <c r="M11" i="6"/>
  <c r="N11" i="6"/>
  <c r="N12" i="6"/>
  <c r="C11" i="6"/>
  <c r="D11" i="5"/>
  <c r="E11" i="5"/>
  <c r="F11" i="5"/>
  <c r="G11" i="5"/>
  <c r="H11" i="5"/>
  <c r="I11" i="5"/>
  <c r="J11" i="5"/>
  <c r="K11" i="5"/>
  <c r="L11" i="5"/>
  <c r="M11" i="5"/>
  <c r="N11" i="5"/>
  <c r="C11" i="5"/>
  <c r="C12" i="5"/>
  <c r="C12" i="6"/>
  <c r="M12" i="6"/>
  <c r="L12" i="6"/>
  <c r="K12" i="6"/>
  <c r="J12" i="6"/>
  <c r="I12" i="6"/>
  <c r="H12" i="6"/>
  <c r="G12" i="6"/>
  <c r="F12" i="6"/>
  <c r="E12" i="6"/>
  <c r="D12" i="6"/>
  <c r="N12" i="5"/>
  <c r="M12" i="5"/>
  <c r="L12" i="5"/>
  <c r="K12" i="5"/>
  <c r="J12" i="5"/>
  <c r="I12" i="5"/>
  <c r="H12" i="5"/>
  <c r="G12" i="5"/>
  <c r="F12" i="5"/>
  <c r="E12" i="5"/>
  <c r="D12" i="5"/>
</calcChain>
</file>

<file path=xl/comments1.xml><?xml version="1.0" encoding="utf-8"?>
<comments xmlns="http://schemas.openxmlformats.org/spreadsheetml/2006/main">
  <authors>
    <author>admin_support</author>
  </authors>
  <commentLis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без дкп</t>
        </r>
      </text>
    </comment>
  </commentList>
</comments>
</file>

<file path=xl/comments2.xml><?xml version="1.0" encoding="utf-8"?>
<comments xmlns="http://schemas.openxmlformats.org/spreadsheetml/2006/main">
  <authors>
    <author>admin_support</author>
  </authors>
  <commentLis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без дкп</t>
        </r>
      </text>
    </comment>
  </commentList>
</comments>
</file>

<file path=xl/comments3.xml><?xml version="1.0" encoding="utf-8"?>
<comments xmlns="http://schemas.openxmlformats.org/spreadsheetml/2006/main">
  <authors>
    <author>admin_support</author>
  </authors>
  <commentLis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без дкп</t>
        </r>
      </text>
    </comment>
  </commentList>
</comments>
</file>

<file path=xl/comments4.xml><?xml version="1.0" encoding="utf-8"?>
<comments xmlns="http://schemas.openxmlformats.org/spreadsheetml/2006/main">
  <authors>
    <author>admin_support</author>
  </authors>
  <commentLis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без дкп</t>
        </r>
      </text>
    </comment>
  </commentList>
</comments>
</file>

<file path=xl/comments5.xml><?xml version="1.0" encoding="utf-8"?>
<comments xmlns="http://schemas.openxmlformats.org/spreadsheetml/2006/main">
  <authors>
    <author>admin_support</author>
    <author>Киреневич Сергей Владимирович</author>
  </authors>
  <commentLis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без дкп</t>
        </r>
      </text>
    </comment>
    <comment ref="E5" authorId="1" shapeId="0">
      <text>
        <r>
          <rPr>
            <b/>
            <sz val="9"/>
            <color indexed="81"/>
            <rFont val="Tahoma"/>
            <family val="2"/>
            <charset val="204"/>
          </rPr>
          <t>Киреневич Сергей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из АОУ и УПД (объем по ВН)
</t>
        </r>
      </text>
    </comment>
    <comment ref="E6" authorId="1" shapeId="0">
      <text>
        <r>
          <rPr>
            <b/>
            <sz val="9"/>
            <color indexed="81"/>
            <rFont val="Tahoma"/>
            <family val="2"/>
            <charset val="204"/>
          </rPr>
          <t>Киреневич Сергей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из АОУ и УПД (объем по СН1)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  <charset val="204"/>
          </rPr>
          <t>Киреневич Сергей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из УПД объем по СН1( ГН)</t>
        </r>
      </text>
    </comment>
  </commentList>
</comments>
</file>

<file path=xl/sharedStrings.xml><?xml version="1.0" encoding="utf-8"?>
<sst xmlns="http://schemas.openxmlformats.org/spreadsheetml/2006/main" count="282" uniqueCount="37">
  <si>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</si>
  <si>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</si>
  <si>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</si>
  <si>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</si>
  <si>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</si>
  <si>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</si>
  <si>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</si>
  <si>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</si>
  <si>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</si>
  <si>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</si>
  <si>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</si>
  <si>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</si>
  <si>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</si>
  <si>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</si>
  <si>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</si>
  <si>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</si>
  <si>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</si>
  <si>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</si>
  <si>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</si>
  <si>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</si>
  <si>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</si>
  <si>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</si>
  <si>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</si>
  <si>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</si>
  <si>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2016 год</t>
  </si>
  <si>
    <t>ПАО "МРСК Центра" - "Белгородэнерго"</t>
  </si>
  <si>
    <t>ОАО "МРСК Центра" - "Белгородэнерго"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</si>
  <si>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</si>
  <si>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</si>
  <si>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</si>
  <si>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2020 год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</si>
  <si>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2021 год</t>
  </si>
  <si>
    <t>СН1 (ГН)</t>
  </si>
  <si>
    <t>филиал ПАО "Россети Центр" - "Белгородэнерго"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</si>
  <si>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</si>
  <si>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</si>
  <si>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 Белгородской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</si>
</sst>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00_р_._-;\-* #,##0.000_р_._-;_-* &quot;-&quot;??_р_._-;_-@_-"/>
    <numFmt numFmtId="167" formatCode="#,##0.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5" fontId="2" fillId="0" borderId="0" xfId="1" applyNumberFormat="1" applyFont="1"/>
    <xf numFmtId="165" fontId="2" fillId="0" borderId="0" xfId="0" applyNumberFormat="1" applyFont="1"/>
    <xf numFmtId="166" fontId="2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/>
    <xf numFmtId="3" fontId="0" fillId="0" borderId="0" xfId="0" applyNumberFormat="1"/>
    <xf numFmtId="3" fontId="6" fillId="0" borderId="0" xfId="0" applyNumberFormat="1" applyFont="1"/>
    <xf numFmtId="0" fontId="6" fillId="0" borderId="0" xfId="0" applyFont="1"/>
    <xf numFmtId="167" fontId="2" fillId="2" borderId="3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C16" sqref="C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6" t="s">
        <v>26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ht="22.5" customHeight="1" x14ac:dyDescent="0.25">
      <c r="A5" s="27"/>
      <c r="B5" s="5" t="s">
        <v>14</v>
      </c>
      <c r="C5" s="11">
        <v>22635653</v>
      </c>
      <c r="D5" s="11">
        <v>20348326</v>
      </c>
      <c r="E5" s="11">
        <v>21246561</v>
      </c>
      <c r="F5" s="11">
        <v>18294462</v>
      </c>
      <c r="G5" s="11">
        <v>17438012</v>
      </c>
      <c r="H5" s="11">
        <v>18478154</v>
      </c>
      <c r="I5" s="11">
        <v>18451147</v>
      </c>
      <c r="J5" s="11">
        <v>18297501</v>
      </c>
      <c r="K5" s="11">
        <v>18374267</v>
      </c>
      <c r="L5" s="11">
        <v>17518253</v>
      </c>
      <c r="M5" s="11">
        <v>19924296</v>
      </c>
      <c r="N5" s="11">
        <v>21604469</v>
      </c>
    </row>
    <row r="6" spans="1:14" ht="22.5" customHeight="1" x14ac:dyDescent="0.25">
      <c r="A6" s="27"/>
      <c r="B6" s="5" t="s">
        <v>15</v>
      </c>
      <c r="C6" s="3">
        <v>1682164</v>
      </c>
      <c r="D6" s="3">
        <v>1290019</v>
      </c>
      <c r="E6" s="3">
        <v>1347850</v>
      </c>
      <c r="F6" s="3">
        <v>853444</v>
      </c>
      <c r="G6" s="3">
        <v>494482</v>
      </c>
      <c r="H6" s="3">
        <v>478740</v>
      </c>
      <c r="I6" s="3">
        <v>571704</v>
      </c>
      <c r="J6" s="3">
        <v>637440</v>
      </c>
      <c r="K6" s="3">
        <v>697315</v>
      </c>
      <c r="L6" s="3">
        <v>1168932</v>
      </c>
      <c r="M6" s="3">
        <v>1161422</v>
      </c>
      <c r="N6" s="3">
        <v>1536921</v>
      </c>
    </row>
    <row r="7" spans="1:14" ht="22.5" customHeight="1" x14ac:dyDescent="0.25">
      <c r="A7" s="27"/>
      <c r="B7" s="5" t="s">
        <v>16</v>
      </c>
      <c r="C7" s="3">
        <v>429453</v>
      </c>
      <c r="D7" s="3">
        <v>352698</v>
      </c>
      <c r="E7" s="3">
        <v>391927</v>
      </c>
      <c r="F7" s="3">
        <v>196117</v>
      </c>
      <c r="G7" s="3">
        <v>137943</v>
      </c>
      <c r="H7" s="3">
        <v>136534</v>
      </c>
      <c r="I7" s="3">
        <v>141688</v>
      </c>
      <c r="J7" s="3">
        <v>131137</v>
      </c>
      <c r="K7" s="3">
        <v>163813</v>
      </c>
      <c r="L7" s="3">
        <v>316600</v>
      </c>
      <c r="M7" s="3">
        <v>315144</v>
      </c>
      <c r="N7" s="3">
        <v>410053</v>
      </c>
    </row>
    <row r="8" spans="1:14" ht="22.5" customHeight="1" x14ac:dyDescent="0.25">
      <c r="A8" s="27"/>
      <c r="B8" s="5" t="s">
        <v>17</v>
      </c>
      <c r="C8" s="3">
        <v>68063</v>
      </c>
      <c r="D8" s="3">
        <v>63892</v>
      </c>
      <c r="E8" s="3">
        <v>59799</v>
      </c>
      <c r="F8" s="3">
        <v>46476</v>
      </c>
      <c r="G8" s="3">
        <v>26774</v>
      </c>
      <c r="H8" s="3">
        <v>29075</v>
      </c>
      <c r="I8" s="3">
        <v>29389</v>
      </c>
      <c r="J8" s="3">
        <v>27940</v>
      </c>
      <c r="K8" s="3">
        <v>29118</v>
      </c>
      <c r="L8" s="3">
        <v>40609</v>
      </c>
      <c r="M8" s="3">
        <v>42146</v>
      </c>
      <c r="N8" s="3">
        <v>64289</v>
      </c>
    </row>
    <row r="9" spans="1:14" ht="22.5" customHeight="1" x14ac:dyDescent="0.25">
      <c r="A9" s="27"/>
      <c r="B9" s="28" t="s">
        <v>20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22.5" customHeight="1" x14ac:dyDescent="0.25">
      <c r="A10" s="27"/>
      <c r="B10" s="4"/>
      <c r="C10" s="3">
        <v>3302</v>
      </c>
      <c r="D10" s="3">
        <v>3565</v>
      </c>
      <c r="E10" s="3">
        <v>3250</v>
      </c>
      <c r="F10" s="3">
        <v>2972</v>
      </c>
      <c r="G10" s="3">
        <v>2149</v>
      </c>
      <c r="H10" s="3">
        <v>1366</v>
      </c>
      <c r="I10" s="3">
        <v>1694</v>
      </c>
      <c r="J10" s="3">
        <v>1753</v>
      </c>
      <c r="K10" s="3">
        <v>2957</v>
      </c>
      <c r="L10" s="3">
        <v>4157</v>
      </c>
      <c r="M10" s="3">
        <v>3783</v>
      </c>
      <c r="N10" s="3">
        <v>4578</v>
      </c>
    </row>
    <row r="11" spans="1:14" ht="30.75" customHeight="1" x14ac:dyDescent="0.25">
      <c r="A11" s="27"/>
      <c r="B11" s="6" t="s">
        <v>18</v>
      </c>
      <c r="C11" s="3">
        <f t="shared" ref="C11:N11" si="0">SUM(C5:C8,C10)</f>
        <v>24818635</v>
      </c>
      <c r="D11" s="3">
        <f t="shared" si="0"/>
        <v>22058500</v>
      </c>
      <c r="E11" s="3">
        <f t="shared" si="0"/>
        <v>23049387</v>
      </c>
      <c r="F11" s="3">
        <f t="shared" si="0"/>
        <v>19393471</v>
      </c>
      <c r="G11" s="3">
        <f t="shared" si="0"/>
        <v>18099360</v>
      </c>
      <c r="H11" s="3">
        <f t="shared" si="0"/>
        <v>19123869</v>
      </c>
      <c r="I11" s="3">
        <f t="shared" si="0"/>
        <v>19195622</v>
      </c>
      <c r="J11" s="3">
        <f t="shared" si="0"/>
        <v>19095771</v>
      </c>
      <c r="K11" s="3">
        <f t="shared" si="0"/>
        <v>19267470</v>
      </c>
      <c r="L11" s="3">
        <f t="shared" si="0"/>
        <v>19048551</v>
      </c>
      <c r="M11" s="3">
        <f t="shared" si="0"/>
        <v>21446791</v>
      </c>
      <c r="N11" s="3">
        <f t="shared" si="0"/>
        <v>23620310</v>
      </c>
    </row>
    <row r="12" spans="1:14" ht="22.5" customHeight="1" x14ac:dyDescent="0.25">
      <c r="A12" s="31" t="s">
        <v>18</v>
      </c>
      <c r="B12" s="32"/>
      <c r="C12" s="10">
        <f>C11</f>
        <v>24818635</v>
      </c>
      <c r="D12" s="10">
        <f t="shared" ref="D12:N12" si="1">D11</f>
        <v>22058500</v>
      </c>
      <c r="E12" s="10">
        <f t="shared" si="1"/>
        <v>23049387</v>
      </c>
      <c r="F12" s="10">
        <f t="shared" si="1"/>
        <v>19393471</v>
      </c>
      <c r="G12" s="10">
        <f t="shared" si="1"/>
        <v>18099360</v>
      </c>
      <c r="H12" s="10">
        <f t="shared" si="1"/>
        <v>19123869</v>
      </c>
      <c r="I12" s="10">
        <f t="shared" si="1"/>
        <v>19195622</v>
      </c>
      <c r="J12" s="10">
        <f t="shared" si="1"/>
        <v>19095771</v>
      </c>
      <c r="K12" s="10">
        <f t="shared" si="1"/>
        <v>19267470</v>
      </c>
      <c r="L12" s="10">
        <f t="shared" si="1"/>
        <v>19048551</v>
      </c>
      <c r="M12" s="10">
        <f t="shared" si="1"/>
        <v>21446791</v>
      </c>
      <c r="N12" s="10">
        <f t="shared" si="1"/>
        <v>23620310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zoomScale="70" zoomScaleNormal="70" workbookViewId="0">
      <selection activeCell="U36" sqref="U36"/>
    </sheetView>
  </sheetViews>
  <sheetFormatPr defaultRowHeight="15" x14ac:dyDescent="0.25"/>
  <cols>
    <col min="1" max="1" width="15.85546875" customWidth="1"/>
    <col min="2" max="2" width="14.85546875" customWidth="1"/>
    <col min="3" max="3" width="8.85546875" hidden="1" customWidth="1"/>
    <col min="4" max="4" width="20.85546875" customWidth="1"/>
    <col min="5" max="6" width="20.85546875" hidden="1" customWidth="1"/>
    <col min="7" max="7" width="20.85546875" customWidth="1"/>
    <col min="8" max="9" width="20.85546875" hidden="1" customWidth="1"/>
    <col min="10" max="10" width="20.85546875" customWidth="1"/>
    <col min="11" max="12" width="20.85546875" hidden="1" customWidth="1"/>
    <col min="13" max="13" width="20.85546875" customWidth="1"/>
    <col min="14" max="16" width="20.85546875" hidden="1" customWidth="1"/>
    <col min="17" max="17" width="20.85546875" customWidth="1"/>
    <col min="18" max="20" width="20.85546875" hidden="1" customWidth="1"/>
    <col min="21" max="21" width="20.85546875" customWidth="1"/>
    <col min="22" max="24" width="20.85546875" hidden="1" customWidth="1"/>
    <col min="25" max="25" width="20.85546875" customWidth="1"/>
    <col min="26" max="28" width="20.85546875" hidden="1" customWidth="1"/>
    <col min="29" max="29" width="20.85546875" customWidth="1"/>
    <col min="30" max="32" width="20.85546875" hidden="1" customWidth="1"/>
    <col min="33" max="33" width="20.85546875" customWidth="1"/>
    <col min="34" max="36" width="20.85546875" hidden="1" customWidth="1"/>
    <col min="37" max="37" width="20.85546875" customWidth="1"/>
    <col min="38" max="40" width="20.85546875" hidden="1" customWidth="1"/>
    <col min="41" max="41" width="20.85546875" customWidth="1"/>
    <col min="42" max="44" width="20.85546875" hidden="1" customWidth="1"/>
    <col min="45" max="45" width="20.85546875" customWidth="1"/>
  </cols>
  <sheetData>
    <row r="1" spans="1:4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6" x14ac:dyDescent="0.25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</row>
    <row r="3" spans="1:46" ht="28.5" x14ac:dyDescent="0.25">
      <c r="A3" s="7" t="s">
        <v>0</v>
      </c>
      <c r="B3" s="8" t="s">
        <v>1</v>
      </c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  <c r="M3" s="9" t="s">
        <v>5</v>
      </c>
      <c r="N3" s="9"/>
      <c r="O3" s="9"/>
      <c r="P3" s="9"/>
      <c r="Q3" s="9" t="s">
        <v>6</v>
      </c>
      <c r="R3" s="9"/>
      <c r="S3" s="9"/>
      <c r="T3" s="9"/>
      <c r="U3" s="9" t="s">
        <v>7</v>
      </c>
      <c r="V3" s="9"/>
      <c r="W3" s="9"/>
      <c r="X3" s="9"/>
      <c r="Y3" s="9" t="s">
        <v>8</v>
      </c>
      <c r="Z3" s="9"/>
      <c r="AA3" s="9"/>
      <c r="AB3" s="9"/>
      <c r="AC3" s="9" t="s">
        <v>9</v>
      </c>
      <c r="AD3" s="9"/>
      <c r="AE3" s="9"/>
      <c r="AF3" s="9"/>
      <c r="AG3" s="9" t="s">
        <v>10</v>
      </c>
      <c r="AH3" s="9"/>
      <c r="AI3" s="9"/>
      <c r="AJ3" s="9"/>
      <c r="AK3" s="9" t="s">
        <v>11</v>
      </c>
      <c r="AL3" s="9"/>
      <c r="AM3" s="9"/>
      <c r="AN3" s="9"/>
      <c r="AO3" s="9" t="s">
        <v>12</v>
      </c>
      <c r="AP3" s="9"/>
      <c r="AQ3" s="9"/>
      <c r="AR3" s="9"/>
      <c r="AS3" s="9" t="s">
        <v>13</v>
      </c>
    </row>
    <row r="4" spans="1:46" ht="24.75" customHeight="1" x14ac:dyDescent="0.25">
      <c r="A4" s="26" t="s">
        <v>33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30"/>
    </row>
    <row r="5" spans="1:46" ht="23.25" customHeight="1" x14ac:dyDescent="0.25">
      <c r="A5" s="27"/>
      <c r="B5" s="17" t="s">
        <v>14</v>
      </c>
      <c r="C5" s="17">
        <v>0.85358601925294919</v>
      </c>
      <c r="D5" s="18">
        <f>18176022+1369338</f>
        <v>19545360</v>
      </c>
      <c r="E5" s="18"/>
      <c r="F5" s="18">
        <v>0.91289649655898975</v>
      </c>
      <c r="G5" s="18">
        <f>16924557+1182507</f>
        <v>18107064</v>
      </c>
      <c r="H5" s="18"/>
      <c r="I5" s="18">
        <v>1.0935916382907096</v>
      </c>
      <c r="J5" s="18">
        <f>17139347+1273000</f>
        <v>18412347</v>
      </c>
      <c r="K5" s="18"/>
      <c r="L5" s="18">
        <v>0.85737737683160575</v>
      </c>
      <c r="M5" s="18">
        <f>14663227+783463</f>
        <v>15446690</v>
      </c>
      <c r="N5" s="23"/>
      <c r="O5" s="23"/>
      <c r="P5" s="23">
        <v>0.9769756058646214</v>
      </c>
      <c r="Q5" s="18">
        <f>13988283+679541</f>
        <v>14667824</v>
      </c>
      <c r="R5" s="18"/>
      <c r="S5" s="18"/>
      <c r="T5" s="18">
        <v>0.8926153722683815</v>
      </c>
      <c r="U5" s="18">
        <f>11351005+604738</f>
        <v>11955743</v>
      </c>
      <c r="V5" s="18"/>
      <c r="W5" s="18"/>
      <c r="X5" s="18">
        <v>0.99131520481794977</v>
      </c>
      <c r="Y5" s="18">
        <f>12111517+661945</f>
        <v>12773462</v>
      </c>
      <c r="Z5" s="18"/>
      <c r="AA5" s="18"/>
      <c r="AB5" s="18">
        <v>1.0132707454062602</v>
      </c>
      <c r="AC5" s="18">
        <f>11021181+672753</f>
        <v>11693934</v>
      </c>
      <c r="AD5" s="18"/>
      <c r="AE5" s="18"/>
      <c r="AF5" s="18">
        <v>1.110586531566744</v>
      </c>
      <c r="AG5" s="18">
        <f>11140170+720637</f>
        <v>11860807</v>
      </c>
      <c r="AH5" s="18"/>
      <c r="AI5" s="18"/>
      <c r="AJ5" s="18">
        <v>1.1629634927292796</v>
      </c>
      <c r="AK5" s="18">
        <f>13135332+896157</f>
        <v>14031489</v>
      </c>
      <c r="AL5" s="18"/>
      <c r="AM5" s="18"/>
      <c r="AN5" s="18">
        <v>0.96212350376842493</v>
      </c>
      <c r="AO5" s="18">
        <f>15156691+1118316</f>
        <v>16275007</v>
      </c>
      <c r="AP5" s="18"/>
      <c r="AQ5" s="18"/>
      <c r="AR5" s="18">
        <v>1.1004619402495575</v>
      </c>
      <c r="AS5" s="18">
        <f>15194988+1351960</f>
        <v>16546948</v>
      </c>
      <c r="AT5" s="22"/>
    </row>
    <row r="6" spans="1:46" ht="23.25" customHeight="1" x14ac:dyDescent="0.25">
      <c r="A6" s="27"/>
      <c r="B6" s="17" t="s">
        <v>15</v>
      </c>
      <c r="C6" s="17">
        <v>0.9048810513460398</v>
      </c>
      <c r="D6" s="18">
        <f>197494+986611</f>
        <v>1184105</v>
      </c>
      <c r="E6" s="18"/>
      <c r="F6" s="18">
        <v>0.96219119246005624</v>
      </c>
      <c r="G6" s="18">
        <f>168386+824321</f>
        <v>992707</v>
      </c>
      <c r="H6" s="18"/>
      <c r="I6" s="18">
        <v>0.96573152094778258</v>
      </c>
      <c r="J6" s="18">
        <f>207472+852726</f>
        <v>1060198</v>
      </c>
      <c r="K6" s="18"/>
      <c r="L6" s="18">
        <v>0.79451350375869823</v>
      </c>
      <c r="M6" s="18">
        <f>124430+504840</f>
        <v>629270</v>
      </c>
      <c r="N6" s="23"/>
      <c r="O6" s="23"/>
      <c r="P6" s="23">
        <v>0.73509499490771613</v>
      </c>
      <c r="Q6" s="18">
        <f>147214+391679</f>
        <v>538893</v>
      </c>
      <c r="R6" s="18"/>
      <c r="S6" s="18"/>
      <c r="T6" s="18">
        <v>1.1333213723858269</v>
      </c>
      <c r="U6" s="18">
        <f>113202+358913</f>
        <v>472115</v>
      </c>
      <c r="V6" s="18"/>
      <c r="W6" s="18"/>
      <c r="X6" s="18">
        <v>0.73428679899093097</v>
      </c>
      <c r="Y6" s="18">
        <f>120478+322985</f>
        <v>443463</v>
      </c>
      <c r="Z6" s="18"/>
      <c r="AA6" s="18"/>
      <c r="AB6" s="18">
        <v>0.92008823411985463</v>
      </c>
      <c r="AC6" s="18">
        <f>135353+316919</f>
        <v>452272</v>
      </c>
      <c r="AD6" s="18"/>
      <c r="AE6" s="18"/>
      <c r="AF6" s="18">
        <v>1.0966524845468411</v>
      </c>
      <c r="AG6" s="18">
        <f>234887+432265</f>
        <v>667152</v>
      </c>
      <c r="AH6" s="18"/>
      <c r="AI6" s="18"/>
      <c r="AJ6" s="18">
        <v>1.4161224396931886</v>
      </c>
      <c r="AK6" s="18">
        <f>842462+622646</f>
        <v>1465108</v>
      </c>
      <c r="AL6" s="18"/>
      <c r="AM6" s="18"/>
      <c r="AN6" s="18">
        <v>1.2045281500553935</v>
      </c>
      <c r="AO6" s="18">
        <f>929512+878947</f>
        <v>1808459</v>
      </c>
      <c r="AP6" s="18"/>
      <c r="AQ6" s="18"/>
      <c r="AR6" s="18">
        <v>1.2288410416289719</v>
      </c>
      <c r="AS6" s="18">
        <f>562558+1110896</f>
        <v>1673454</v>
      </c>
      <c r="AT6" s="22"/>
    </row>
    <row r="7" spans="1:46" ht="23.25" customHeight="1" x14ac:dyDescent="0.25">
      <c r="A7" s="27"/>
      <c r="B7" s="17" t="s">
        <v>32</v>
      </c>
      <c r="C7" s="17"/>
      <c r="D7" s="18">
        <v>175805</v>
      </c>
      <c r="E7" s="18"/>
      <c r="F7" s="18">
        <v>1.1037671034442798</v>
      </c>
      <c r="G7" s="18">
        <v>126796</v>
      </c>
      <c r="H7" s="18"/>
      <c r="I7" s="18">
        <v>0.84273126101466123</v>
      </c>
      <c r="J7" s="18">
        <v>118505</v>
      </c>
      <c r="K7" s="18"/>
      <c r="L7" s="18">
        <v>0.41955434531119296</v>
      </c>
      <c r="M7" s="18">
        <v>68201</v>
      </c>
      <c r="N7" s="23"/>
      <c r="O7" s="23"/>
      <c r="P7" s="23">
        <v>0.37796678473709888</v>
      </c>
      <c r="Q7" s="18">
        <v>50271</v>
      </c>
      <c r="R7" s="18"/>
      <c r="S7" s="18"/>
      <c r="T7" s="18">
        <v>0.38883277216610551</v>
      </c>
      <c r="U7" s="18">
        <v>17870</v>
      </c>
      <c r="V7" s="18"/>
      <c r="W7" s="18"/>
      <c r="X7" s="18">
        <v>1.5051233944292106</v>
      </c>
      <c r="Y7" s="18">
        <v>35337</v>
      </c>
      <c r="Z7" s="18"/>
      <c r="AA7" s="18"/>
      <c r="AB7" s="18">
        <v>1.0150541758557867</v>
      </c>
      <c r="AC7" s="18">
        <v>33686</v>
      </c>
      <c r="AD7" s="18"/>
      <c r="AE7" s="18"/>
      <c r="AF7" s="18">
        <v>2.4295295673531081</v>
      </c>
      <c r="AG7" s="18">
        <v>1283</v>
      </c>
      <c r="AH7" s="18"/>
      <c r="AI7" s="18"/>
      <c r="AJ7" s="18">
        <v>2.0619386445818266</v>
      </c>
      <c r="AK7" s="18">
        <v>11016</v>
      </c>
      <c r="AL7" s="18"/>
      <c r="AM7" s="18"/>
      <c r="AN7" s="18">
        <v>1.2794403273556976</v>
      </c>
      <c r="AO7" s="18">
        <v>3454</v>
      </c>
      <c r="AP7" s="18"/>
      <c r="AQ7" s="18"/>
      <c r="AR7" s="18">
        <v>2.0415033161385407</v>
      </c>
      <c r="AS7" s="18">
        <v>5064</v>
      </c>
      <c r="AT7" s="22"/>
    </row>
    <row r="8" spans="1:46" ht="25.5" customHeight="1" x14ac:dyDescent="0.25">
      <c r="A8" s="27"/>
      <c r="B8" s="17" t="s">
        <v>16</v>
      </c>
      <c r="C8" s="17">
        <v>0.17555824233951714</v>
      </c>
      <c r="D8" s="18">
        <v>624467</v>
      </c>
      <c r="E8" s="18"/>
      <c r="F8" s="18">
        <v>0.89934480403814654</v>
      </c>
      <c r="G8" s="18">
        <v>490855</v>
      </c>
      <c r="H8" s="18"/>
      <c r="I8" s="18">
        <v>0.65588568728079844</v>
      </c>
      <c r="J8" s="18">
        <v>534359</v>
      </c>
      <c r="K8" s="18"/>
      <c r="L8" s="18">
        <v>0.94134553108808294</v>
      </c>
      <c r="M8" s="18">
        <v>298944</v>
      </c>
      <c r="N8" s="23"/>
      <c r="O8" s="23"/>
      <c r="P8" s="23">
        <v>0.4997634917222103</v>
      </c>
      <c r="Q8" s="18">
        <v>191696</v>
      </c>
      <c r="R8" s="18"/>
      <c r="S8" s="18"/>
      <c r="T8" s="18">
        <v>0.92551196007571845</v>
      </c>
      <c r="U8" s="18">
        <v>143753</v>
      </c>
      <c r="V8" s="18"/>
      <c r="W8" s="18"/>
      <c r="X8" s="18">
        <v>1.1866905906306071</v>
      </c>
      <c r="Y8" s="18">
        <v>176218</v>
      </c>
      <c r="Z8" s="18"/>
      <c r="AA8" s="18"/>
      <c r="AB8" s="18">
        <v>1.7126774466484911</v>
      </c>
      <c r="AC8" s="18">
        <v>160164</v>
      </c>
      <c r="AD8" s="18"/>
      <c r="AE8" s="18"/>
      <c r="AF8" s="18">
        <v>0.77423574993252919</v>
      </c>
      <c r="AG8" s="18">
        <f>217459</f>
        <v>217459</v>
      </c>
      <c r="AH8" s="18"/>
      <c r="AI8" s="18"/>
      <c r="AJ8" s="18">
        <v>2.2379089910078105</v>
      </c>
      <c r="AK8" s="18">
        <v>336889</v>
      </c>
      <c r="AL8" s="18"/>
      <c r="AM8" s="18"/>
      <c r="AN8" s="18">
        <v>1.1886774520571091</v>
      </c>
      <c r="AO8" s="18">
        <v>479004</v>
      </c>
      <c r="AP8" s="18"/>
      <c r="AQ8" s="18"/>
      <c r="AR8" s="18">
        <v>1.2968582038502883</v>
      </c>
      <c r="AS8" s="18">
        <v>606108</v>
      </c>
      <c r="AT8" s="22"/>
    </row>
    <row r="9" spans="1:46" ht="23.25" customHeight="1" x14ac:dyDescent="0.25">
      <c r="A9" s="27"/>
      <c r="B9" s="17" t="s">
        <v>17</v>
      </c>
      <c r="C9" s="17">
        <v>4.6578508352425647</v>
      </c>
      <c r="D9" s="18">
        <v>53579</v>
      </c>
      <c r="E9" s="18"/>
      <c r="F9" s="18">
        <v>0.86361369537927124</v>
      </c>
      <c r="G9" s="18">
        <v>48908</v>
      </c>
      <c r="H9" s="18"/>
      <c r="I9" s="18">
        <v>0.97260055754679409</v>
      </c>
      <c r="J9" s="18">
        <v>48828</v>
      </c>
      <c r="K9" s="18"/>
      <c r="L9" s="18">
        <v>0.73826877405617886</v>
      </c>
      <c r="M9" s="18">
        <v>37700</v>
      </c>
      <c r="N9" s="23"/>
      <c r="O9" s="23"/>
      <c r="P9" s="23">
        <v>0.6486134220743206</v>
      </c>
      <c r="Q9" s="18">
        <v>22823</v>
      </c>
      <c r="R9" s="18"/>
      <c r="S9" s="18"/>
      <c r="T9" s="18">
        <v>0.95480781563983064</v>
      </c>
      <c r="U9" s="18">
        <v>22010</v>
      </c>
      <c r="V9" s="18"/>
      <c r="W9" s="18"/>
      <c r="X9" s="18">
        <v>1.3222729715206878</v>
      </c>
      <c r="Y9" s="18">
        <v>24236</v>
      </c>
      <c r="Z9" s="18"/>
      <c r="AA9" s="18"/>
      <c r="AB9" s="18">
        <v>0.95143756984659145</v>
      </c>
      <c r="AC9" s="18">
        <v>24455</v>
      </c>
      <c r="AD9" s="18"/>
      <c r="AE9" s="18"/>
      <c r="AF9" s="18">
        <v>0.95504538174052322</v>
      </c>
      <c r="AG9" s="18">
        <v>22643</v>
      </c>
      <c r="AH9" s="18"/>
      <c r="AI9" s="18"/>
      <c r="AJ9" s="18">
        <v>1.3340041741204531</v>
      </c>
      <c r="AK9" s="18">
        <v>31274</v>
      </c>
      <c r="AL9" s="18"/>
      <c r="AM9" s="18"/>
      <c r="AN9" s="18">
        <v>1.1337374979046768</v>
      </c>
      <c r="AO9" s="18">
        <v>33811</v>
      </c>
      <c r="AP9" s="18"/>
      <c r="AQ9" s="18"/>
      <c r="AR9" s="18">
        <v>1.1046056036075995</v>
      </c>
      <c r="AS9" s="18">
        <v>45848</v>
      </c>
      <c r="AT9" s="22"/>
    </row>
    <row r="10" spans="1:46" ht="24.75" customHeight="1" x14ac:dyDescent="0.25">
      <c r="A10" s="27"/>
      <c r="B10" s="33" t="s">
        <v>20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5"/>
    </row>
    <row r="11" spans="1:46" ht="23.25" customHeight="1" x14ac:dyDescent="0.25">
      <c r="A11" s="27"/>
      <c r="B11" s="19"/>
      <c r="C11" s="19">
        <v>0</v>
      </c>
      <c r="D11" s="18">
        <v>2508</v>
      </c>
      <c r="E11" s="18"/>
      <c r="F11" s="18">
        <v>0.67290367290367292</v>
      </c>
      <c r="G11" s="18">
        <v>2408</v>
      </c>
      <c r="H11" s="18"/>
      <c r="I11" s="18">
        <v>1.1349124613800206</v>
      </c>
      <c r="J11" s="18">
        <v>2425</v>
      </c>
      <c r="K11" s="18"/>
      <c r="L11" s="18">
        <v>1.2767695099818512</v>
      </c>
      <c r="M11" s="18">
        <v>2594</v>
      </c>
      <c r="N11" s="23"/>
      <c r="O11" s="23"/>
      <c r="P11" s="23">
        <v>0.68372423596304188</v>
      </c>
      <c r="Q11" s="18">
        <v>2362</v>
      </c>
      <c r="R11" s="18"/>
      <c r="S11" s="18"/>
      <c r="T11" s="18">
        <v>1.4764379764379765</v>
      </c>
      <c r="U11" s="18">
        <v>2390</v>
      </c>
      <c r="V11" s="18"/>
      <c r="W11" s="18"/>
      <c r="X11" s="18">
        <v>1.2236564186810608</v>
      </c>
      <c r="Y11" s="18">
        <v>2458</v>
      </c>
      <c r="Z11" s="18"/>
      <c r="AA11" s="18"/>
      <c r="AB11" s="18">
        <v>0.60299194476409668</v>
      </c>
      <c r="AC11" s="18">
        <v>4938</v>
      </c>
      <c r="AD11" s="18"/>
      <c r="AE11" s="18"/>
      <c r="AF11" s="18">
        <v>0.87468193384223913</v>
      </c>
      <c r="AG11" s="18">
        <v>4698</v>
      </c>
      <c r="AH11" s="18"/>
      <c r="AI11" s="18"/>
      <c r="AJ11" s="18">
        <v>1.2818181818181817</v>
      </c>
      <c r="AK11" s="18">
        <v>3718</v>
      </c>
      <c r="AL11" s="18"/>
      <c r="AM11" s="18"/>
      <c r="AN11" s="18">
        <v>0.99574468085106382</v>
      </c>
      <c r="AO11" s="18">
        <v>5057</v>
      </c>
      <c r="AP11" s="18"/>
      <c r="AQ11" s="18"/>
      <c r="AR11" s="18">
        <v>0.93219373219373214</v>
      </c>
      <c r="AS11" s="18">
        <v>3630</v>
      </c>
      <c r="AT11" s="22"/>
    </row>
    <row r="12" spans="1:46" ht="23.25" customHeight="1" x14ac:dyDescent="0.25">
      <c r="A12" s="31" t="s">
        <v>18</v>
      </c>
      <c r="B12" s="32"/>
      <c r="C12" s="24"/>
      <c r="D12" s="10">
        <f t="shared" ref="D12:AS12" si="0">SUM(D5:D9,D11)</f>
        <v>21585824</v>
      </c>
      <c r="E12" s="10"/>
      <c r="F12" s="10"/>
      <c r="G12" s="10">
        <f>SUM(G5:G9,G11)</f>
        <v>19768738</v>
      </c>
      <c r="H12" s="10"/>
      <c r="I12" s="10"/>
      <c r="J12" s="10">
        <f>SUM(J5:J9,J11)</f>
        <v>20176662</v>
      </c>
      <c r="K12" s="10"/>
      <c r="L12" s="10"/>
      <c r="M12" s="10">
        <f t="shared" si="0"/>
        <v>16483399</v>
      </c>
      <c r="N12" s="10"/>
      <c r="O12" s="10"/>
      <c r="P12" s="10"/>
      <c r="Q12" s="10">
        <f>SUM(Q5:Q9,Q11)</f>
        <v>15473869</v>
      </c>
      <c r="R12" s="10"/>
      <c r="S12" s="10"/>
      <c r="T12" s="10"/>
      <c r="U12" s="10">
        <f>SUM(U5:U9,U11)</f>
        <v>12613881</v>
      </c>
      <c r="V12" s="10"/>
      <c r="W12" s="10"/>
      <c r="X12" s="10"/>
      <c r="Y12" s="10">
        <f t="shared" si="0"/>
        <v>13455174</v>
      </c>
      <c r="Z12" s="10"/>
      <c r="AA12" s="10"/>
      <c r="AB12" s="10"/>
      <c r="AC12" s="10">
        <f t="shared" si="0"/>
        <v>12369449</v>
      </c>
      <c r="AD12" s="10"/>
      <c r="AE12" s="10"/>
      <c r="AF12" s="10"/>
      <c r="AG12" s="10">
        <f t="shared" si="0"/>
        <v>12774042</v>
      </c>
      <c r="AH12" s="10"/>
      <c r="AI12" s="10"/>
      <c r="AJ12" s="10"/>
      <c r="AK12" s="10">
        <f>SUM(AK5:AK9,AK11)</f>
        <v>15879494</v>
      </c>
      <c r="AL12" s="10"/>
      <c r="AM12" s="10"/>
      <c r="AN12" s="10"/>
      <c r="AO12" s="10">
        <f t="shared" si="0"/>
        <v>18604792</v>
      </c>
      <c r="AP12" s="10"/>
      <c r="AQ12" s="10"/>
      <c r="AR12" s="10"/>
      <c r="AS12" s="10">
        <f t="shared" si="0"/>
        <v>18881052</v>
      </c>
    </row>
    <row r="15" spans="1:46" x14ac:dyDescent="0.25">
      <c r="M15" s="20"/>
      <c r="N15" s="20"/>
      <c r="O15" s="20"/>
      <c r="P15" s="20"/>
    </row>
    <row r="22" spans="7:24" x14ac:dyDescent="0.25">
      <c r="G22" s="15"/>
      <c r="H22" s="15"/>
      <c r="I22" s="15"/>
      <c r="M22" s="16"/>
      <c r="N22" s="16"/>
      <c r="O22" s="16"/>
      <c r="P22" s="16"/>
      <c r="U22" s="16"/>
      <c r="V22" s="16"/>
      <c r="W22" s="16"/>
      <c r="X22" s="16"/>
    </row>
    <row r="23" spans="7:24" x14ac:dyDescent="0.25">
      <c r="G23" s="15"/>
      <c r="H23" s="15"/>
      <c r="I23" s="15"/>
      <c r="M23" s="16"/>
      <c r="N23" s="16"/>
      <c r="O23" s="16"/>
      <c r="P23" s="16"/>
      <c r="U23" s="16"/>
      <c r="V23" s="16"/>
      <c r="W23" s="16"/>
      <c r="X23" s="16"/>
    </row>
    <row r="24" spans="7:24" x14ac:dyDescent="0.25">
      <c r="G24" s="15"/>
      <c r="H24" s="15"/>
      <c r="I24" s="15"/>
      <c r="M24" s="16"/>
      <c r="N24" s="16"/>
      <c r="O24" s="16"/>
      <c r="P24" s="16"/>
      <c r="U24" s="16"/>
      <c r="V24" s="16"/>
      <c r="W24" s="16"/>
      <c r="X24" s="16"/>
    </row>
    <row r="25" spans="7:24" x14ac:dyDescent="0.25">
      <c r="G25" s="15"/>
      <c r="H25" s="15"/>
      <c r="I25" s="15"/>
      <c r="M25" s="16"/>
      <c r="N25" s="16"/>
      <c r="O25" s="16"/>
      <c r="P25" s="16"/>
      <c r="U25" s="16"/>
      <c r="V25" s="16"/>
      <c r="W25" s="16"/>
      <c r="X25" s="16"/>
    </row>
    <row r="26" spans="7:24" x14ac:dyDescent="0.25">
      <c r="G26" s="15"/>
      <c r="H26" s="15"/>
      <c r="I26" s="15"/>
      <c r="M26" s="16"/>
      <c r="N26" s="16"/>
      <c r="O26" s="16"/>
      <c r="P26" s="16"/>
      <c r="U26" s="16"/>
      <c r="V26" s="16"/>
      <c r="W26" s="16"/>
      <c r="X26" s="16"/>
    </row>
    <row r="27" spans="7:24" x14ac:dyDescent="0.25">
      <c r="G27" s="15"/>
      <c r="H27" s="15"/>
      <c r="I27" s="15"/>
    </row>
    <row r="28" spans="7:24" x14ac:dyDescent="0.25">
      <c r="G28" s="15"/>
      <c r="H28" s="15"/>
      <c r="I28" s="15"/>
    </row>
    <row r="29" spans="7:24" x14ac:dyDescent="0.25">
      <c r="G29" s="15"/>
      <c r="H29" s="15"/>
      <c r="I29" s="15"/>
    </row>
    <row r="30" spans="7:24" x14ac:dyDescent="0.25">
      <c r="G30" s="15"/>
      <c r="H30" s="15"/>
      <c r="I30" s="15"/>
    </row>
    <row r="31" spans="7:24" x14ac:dyDescent="0.25">
      <c r="G31" s="15"/>
      <c r="H31" s="15"/>
      <c r="I31" s="15"/>
    </row>
    <row r="32" spans="7:24" x14ac:dyDescent="0.25">
      <c r="G32" s="15"/>
      <c r="H32" s="15"/>
      <c r="I32" s="15"/>
    </row>
    <row r="33" spans="7:9" x14ac:dyDescent="0.25">
      <c r="G33" s="15"/>
      <c r="H33" s="15"/>
      <c r="I33" s="15"/>
    </row>
    <row r="34" spans="7:9" x14ac:dyDescent="0.25">
      <c r="G34" s="15"/>
      <c r="H34" s="15"/>
      <c r="I34" s="15"/>
    </row>
    <row r="35" spans="7:9" x14ac:dyDescent="0.25">
      <c r="G35" s="15"/>
      <c r="H35" s="15"/>
      <c r="I35" s="15"/>
    </row>
    <row r="36" spans="7:9" x14ac:dyDescent="0.25">
      <c r="G36" s="15"/>
      <c r="H36" s="15"/>
      <c r="I36" s="15"/>
    </row>
    <row r="37" spans="7:9" x14ac:dyDescent="0.25">
      <c r="G37" s="15"/>
      <c r="H37" s="15"/>
      <c r="I37" s="15"/>
    </row>
    <row r="38" spans="7:9" x14ac:dyDescent="0.25">
      <c r="G38" s="15"/>
      <c r="H38" s="15"/>
      <c r="I38" s="15"/>
    </row>
    <row r="39" spans="7:9" x14ac:dyDescent="0.25">
      <c r="G39" s="15"/>
      <c r="H39" s="15"/>
      <c r="I39" s="15"/>
    </row>
    <row r="40" spans="7:9" x14ac:dyDescent="0.25">
      <c r="G40" s="15"/>
      <c r="H40" s="15"/>
      <c r="I40" s="15"/>
    </row>
    <row r="41" spans="7:9" x14ac:dyDescent="0.25">
      <c r="G41" s="15"/>
      <c r="H41" s="15"/>
      <c r="I41" s="15"/>
    </row>
    <row r="42" spans="7:9" x14ac:dyDescent="0.25">
      <c r="G42" s="15"/>
      <c r="H42" s="15"/>
      <c r="I42" s="15"/>
    </row>
    <row r="43" spans="7:9" x14ac:dyDescent="0.25">
      <c r="G43" s="15"/>
      <c r="H43" s="15"/>
      <c r="I43" s="15"/>
    </row>
    <row r="44" spans="7:9" x14ac:dyDescent="0.25">
      <c r="G44" s="15"/>
      <c r="H44" s="15"/>
      <c r="I44" s="15"/>
    </row>
    <row r="45" spans="7:9" x14ac:dyDescent="0.25">
      <c r="G45" s="15"/>
      <c r="H45" s="15"/>
      <c r="I45" s="15"/>
    </row>
    <row r="46" spans="7:9" x14ac:dyDescent="0.25">
      <c r="G46" s="15"/>
      <c r="H46" s="15"/>
      <c r="I46" s="15"/>
    </row>
    <row r="47" spans="7:9" x14ac:dyDescent="0.25">
      <c r="G47" s="15"/>
      <c r="H47" s="15"/>
      <c r="I47" s="15"/>
    </row>
  </sheetData>
  <mergeCells count="5">
    <mergeCell ref="A2:AS2"/>
    <mergeCell ref="A4:A11"/>
    <mergeCell ref="B4:AS4"/>
    <mergeCell ref="B10:AS10"/>
    <mergeCell ref="A12:B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70" zoomScaleNormal="70" workbookViewId="0">
      <selection activeCell="E19" sqref="A1:XFD1048576"/>
    </sheetView>
  </sheetViews>
  <sheetFormatPr defaultRowHeight="15" x14ac:dyDescent="0.25"/>
  <cols>
    <col min="1" max="1" width="15.85546875" customWidth="1"/>
    <col min="2" max="2" width="14.85546875" customWidth="1"/>
    <col min="3" max="4" width="20.85546875" customWidth="1"/>
    <col min="5" max="5" width="23.28515625" customWidth="1"/>
    <col min="6" max="14" width="20.855468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5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4.75" customHeight="1" x14ac:dyDescent="0.25">
      <c r="A4" s="26" t="s">
        <v>33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ht="23.25" customHeight="1" x14ac:dyDescent="0.25">
      <c r="A5" s="27"/>
      <c r="B5" s="17" t="s">
        <v>14</v>
      </c>
      <c r="C5" s="18">
        <f>16116153+1300940</f>
        <v>17417093</v>
      </c>
      <c r="D5" s="18">
        <f>13533089+1181584</f>
        <v>14714673</v>
      </c>
      <c r="E5" s="18">
        <f>13311549+1114232</f>
        <v>14425781</v>
      </c>
      <c r="F5" s="18">
        <f>12400345+766295</f>
        <v>13166640</v>
      </c>
      <c r="G5" s="18">
        <f>11622661+613492</f>
        <v>12236153</v>
      </c>
      <c r="H5" s="18">
        <f>11285139+572761</f>
        <v>11857900</v>
      </c>
      <c r="I5" s="18">
        <f>10907998+582164</f>
        <v>11490162</v>
      </c>
      <c r="J5" s="18">
        <f>10483151+544892</f>
        <v>11028043</v>
      </c>
      <c r="K5" s="18">
        <f>12528825+562377</f>
        <v>13091202</v>
      </c>
      <c r="L5" s="18">
        <f>14300579+863033</f>
        <v>15163612</v>
      </c>
      <c r="M5" s="18">
        <f>16513759+1052138</f>
        <v>17565897</v>
      </c>
      <c r="N5" s="18">
        <f>16975426+1477470</f>
        <v>18452896</v>
      </c>
    </row>
    <row r="6" spans="1:14" ht="23.25" customHeight="1" x14ac:dyDescent="0.25">
      <c r="A6" s="27"/>
      <c r="B6" s="17" t="s">
        <v>15</v>
      </c>
      <c r="C6" s="18">
        <f>305539+938623</f>
        <v>1244162</v>
      </c>
      <c r="D6" s="18">
        <f>246464+830054</f>
        <v>1076518</v>
      </c>
      <c r="E6" s="18">
        <f>156656+760017</f>
        <v>916673</v>
      </c>
      <c r="F6" s="18">
        <f>122277+480854</f>
        <v>603131</v>
      </c>
      <c r="G6" s="18">
        <f>117467+363735</f>
        <v>481202</v>
      </c>
      <c r="H6" s="18">
        <f>95978+278833</f>
        <v>374811</v>
      </c>
      <c r="I6" s="18">
        <f>115767+183566</f>
        <v>299333</v>
      </c>
      <c r="J6" s="18">
        <f>101874+173222</f>
        <v>275096</v>
      </c>
      <c r="K6" s="18">
        <f>102762+176330</f>
        <v>279092</v>
      </c>
      <c r="L6" s="18">
        <f>746316+325976</f>
        <v>1072292</v>
      </c>
      <c r="M6" s="18">
        <f>922879+565435</f>
        <v>1488314</v>
      </c>
      <c r="N6" s="18">
        <f>760276+788809</f>
        <v>1549085</v>
      </c>
    </row>
    <row r="7" spans="1:14" ht="23.25" customHeight="1" x14ac:dyDescent="0.25">
      <c r="A7" s="27"/>
      <c r="B7" s="17" t="s">
        <v>32</v>
      </c>
      <c r="C7" s="18">
        <v>5039</v>
      </c>
      <c r="D7" s="18">
        <v>3865</v>
      </c>
      <c r="E7" s="18">
        <v>4287</v>
      </c>
      <c r="F7" s="18">
        <v>3767</v>
      </c>
      <c r="G7" s="18">
        <v>3600</v>
      </c>
      <c r="H7" s="18">
        <v>2773</v>
      </c>
      <c r="I7" s="18">
        <v>132</v>
      </c>
      <c r="J7" s="18">
        <v>177</v>
      </c>
      <c r="K7" s="18">
        <v>2562</v>
      </c>
      <c r="L7" s="18">
        <v>3783</v>
      </c>
      <c r="M7" s="18">
        <v>3903</v>
      </c>
      <c r="N7" s="18">
        <v>7885</v>
      </c>
    </row>
    <row r="8" spans="1:14" ht="25.5" customHeight="1" x14ac:dyDescent="0.25">
      <c r="A8" s="27"/>
      <c r="B8" s="17" t="s">
        <v>16</v>
      </c>
      <c r="C8" s="18">
        <v>629169</v>
      </c>
      <c r="D8" s="18">
        <v>553302</v>
      </c>
      <c r="E8" s="18">
        <v>518250</v>
      </c>
      <c r="F8" s="18">
        <v>284261</v>
      </c>
      <c r="G8" s="18">
        <v>196578</v>
      </c>
      <c r="H8" s="18">
        <v>157017</v>
      </c>
      <c r="I8" s="18">
        <v>171297</v>
      </c>
      <c r="J8" s="18">
        <v>157882</v>
      </c>
      <c r="K8" s="18">
        <v>172979</v>
      </c>
      <c r="L8" s="18">
        <v>405348</v>
      </c>
      <c r="M8" s="18">
        <v>520741</v>
      </c>
      <c r="N8" s="18">
        <v>572879</v>
      </c>
    </row>
    <row r="9" spans="1:14" ht="23.25" customHeight="1" x14ac:dyDescent="0.25">
      <c r="A9" s="27"/>
      <c r="B9" s="17" t="s">
        <v>17</v>
      </c>
      <c r="C9" s="18">
        <v>48066</v>
      </c>
      <c r="D9" s="18">
        <v>47779</v>
      </c>
      <c r="E9" s="18">
        <v>43795</v>
      </c>
      <c r="F9" s="18">
        <v>32204</v>
      </c>
      <c r="G9" s="18">
        <v>23671</v>
      </c>
      <c r="H9" s="18">
        <v>19834</v>
      </c>
      <c r="I9" s="18">
        <v>20274</v>
      </c>
      <c r="J9" s="18">
        <v>25109</v>
      </c>
      <c r="K9" s="18">
        <v>19576</v>
      </c>
      <c r="L9" s="18">
        <v>29360</v>
      </c>
      <c r="M9" s="18">
        <v>31576</v>
      </c>
      <c r="N9" s="18">
        <v>43766</v>
      </c>
    </row>
    <row r="10" spans="1:14" ht="24.75" customHeight="1" x14ac:dyDescent="0.25">
      <c r="A10" s="27"/>
      <c r="B10" s="33" t="s">
        <v>20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23.25" customHeight="1" x14ac:dyDescent="0.25">
      <c r="A11" s="27"/>
      <c r="B11" s="19"/>
      <c r="C11" s="18">
        <v>3139</v>
      </c>
      <c r="D11" s="18">
        <v>2547</v>
      </c>
      <c r="E11" s="18">
        <v>5262</v>
      </c>
      <c r="F11" s="18">
        <v>3960</v>
      </c>
      <c r="G11" s="18">
        <v>3645</v>
      </c>
      <c r="H11" s="18">
        <v>3450</v>
      </c>
      <c r="I11" s="18">
        <v>4115</v>
      </c>
      <c r="J11" s="18">
        <v>3776</v>
      </c>
      <c r="K11" s="18">
        <f>3495+3941</f>
        <v>7436</v>
      </c>
      <c r="L11" s="18">
        <v>4883</v>
      </c>
      <c r="M11" s="18">
        <v>3521</v>
      </c>
      <c r="N11" s="18">
        <v>6707</v>
      </c>
    </row>
    <row r="12" spans="1:14" ht="23.25" customHeight="1" x14ac:dyDescent="0.25">
      <c r="A12" s="31" t="s">
        <v>18</v>
      </c>
      <c r="B12" s="32"/>
      <c r="C12" s="10">
        <f t="shared" ref="C12:N12" si="0">SUM(C5:C9,C11)</f>
        <v>19346668</v>
      </c>
      <c r="D12" s="10">
        <f>SUM(D5:D9,D11)</f>
        <v>16398684</v>
      </c>
      <c r="E12" s="10">
        <f>SUM(E5:E9,E11)</f>
        <v>15914048</v>
      </c>
      <c r="F12" s="10">
        <f t="shared" si="0"/>
        <v>14093963</v>
      </c>
      <c r="G12" s="10">
        <f>SUM(G5:G9,G11)</f>
        <v>12944849</v>
      </c>
      <c r="H12" s="10">
        <f>SUM(H5:H9,H11)</f>
        <v>12415785</v>
      </c>
      <c r="I12" s="10">
        <f t="shared" si="0"/>
        <v>11985313</v>
      </c>
      <c r="J12" s="10">
        <f t="shared" si="0"/>
        <v>11490083</v>
      </c>
      <c r="K12" s="10">
        <f t="shared" si="0"/>
        <v>13572847</v>
      </c>
      <c r="L12" s="10">
        <f>SUM(L5:L9,L11)</f>
        <v>16679278</v>
      </c>
      <c r="M12" s="10">
        <f t="shared" si="0"/>
        <v>19613952</v>
      </c>
      <c r="N12" s="10">
        <f t="shared" si="0"/>
        <v>20633218</v>
      </c>
    </row>
    <row r="15" spans="1:14" x14ac:dyDescent="0.25">
      <c r="F15" s="20"/>
    </row>
    <row r="22" spans="4:8" x14ac:dyDescent="0.25">
      <c r="D22" s="15"/>
      <c r="F22" s="16"/>
      <c r="H22" s="16"/>
    </row>
    <row r="23" spans="4:8" x14ac:dyDescent="0.25">
      <c r="D23" s="15"/>
      <c r="F23" s="16"/>
      <c r="H23" s="16"/>
    </row>
    <row r="24" spans="4:8" x14ac:dyDescent="0.25">
      <c r="D24" s="15"/>
      <c r="F24" s="16"/>
      <c r="H24" s="16"/>
    </row>
    <row r="25" spans="4:8" x14ac:dyDescent="0.25">
      <c r="D25" s="15"/>
      <c r="F25" s="16"/>
      <c r="H25" s="16"/>
    </row>
    <row r="26" spans="4:8" x14ac:dyDescent="0.25">
      <c r="D26" s="15"/>
      <c r="F26" s="16"/>
      <c r="H26" s="16"/>
    </row>
    <row r="27" spans="4:8" x14ac:dyDescent="0.25">
      <c r="D27" s="15"/>
    </row>
    <row r="28" spans="4:8" x14ac:dyDescent="0.25">
      <c r="D28" s="15"/>
    </row>
    <row r="29" spans="4:8" x14ac:dyDescent="0.25">
      <c r="D29" s="15"/>
    </row>
    <row r="30" spans="4:8" x14ac:dyDescent="0.25">
      <c r="D30" s="15"/>
    </row>
    <row r="31" spans="4:8" x14ac:dyDescent="0.25">
      <c r="D31" s="15"/>
    </row>
    <row r="32" spans="4:8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  <row r="47" spans="4:4" x14ac:dyDescent="0.25">
      <c r="D47" s="15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F1" zoomScale="85" zoomScaleNormal="85" workbookViewId="0">
      <selection activeCell="N17" sqref="N17"/>
    </sheetView>
  </sheetViews>
  <sheetFormatPr defaultRowHeight="15" x14ac:dyDescent="0.25"/>
  <cols>
    <col min="1" max="1" width="15.85546875" customWidth="1"/>
    <col min="2" max="2" width="14.85546875" customWidth="1"/>
    <col min="3" max="4" width="20.85546875" customWidth="1"/>
    <col min="5" max="5" width="23.28515625" customWidth="1"/>
    <col min="6" max="14" width="20.855468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5" t="s">
        <v>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4.75" customHeight="1" x14ac:dyDescent="0.25">
      <c r="A4" s="26" t="s">
        <v>33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ht="23.25" customHeight="1" x14ac:dyDescent="0.25">
      <c r="A5" s="27"/>
      <c r="B5" s="17" t="s">
        <v>14</v>
      </c>
      <c r="C5" s="18">
        <f>16129297+1451383</f>
        <v>17580680</v>
      </c>
      <c r="D5" s="18">
        <f>15746555+1324603</f>
        <v>17071158</v>
      </c>
      <c r="E5" s="18">
        <f>15463665+1218412</f>
        <v>16682077</v>
      </c>
      <c r="F5" s="18">
        <f>13408626+751942</f>
        <v>14160568</v>
      </c>
      <c r="G5" s="18">
        <f>14013950+605645</f>
        <v>14619595</v>
      </c>
      <c r="H5" s="18">
        <f>11676216.6+568319</f>
        <v>12244535.6</v>
      </c>
      <c r="I5" s="18">
        <f>12222154+640537</f>
        <v>12862691</v>
      </c>
      <c r="J5" s="18">
        <f>12008464+598184</f>
        <v>12606648</v>
      </c>
      <c r="K5" s="18">
        <f>11347985+552615</f>
        <v>11900600</v>
      </c>
      <c r="L5" s="18">
        <f>13499378+776371</f>
        <v>14275749</v>
      </c>
      <c r="M5" s="18">
        <f>14141664+998840</f>
        <v>15140504</v>
      </c>
      <c r="N5" s="18">
        <f>14588902.76+1309633</f>
        <v>15898535.76</v>
      </c>
    </row>
    <row r="6" spans="1:14" ht="23.25" customHeight="1" x14ac:dyDescent="0.25">
      <c r="A6" s="27"/>
      <c r="B6" s="17" t="s">
        <v>15</v>
      </c>
      <c r="C6" s="18">
        <f>465798+948995</f>
        <v>1414793</v>
      </c>
      <c r="D6" s="18">
        <f>160747+843140</f>
        <v>1003887</v>
      </c>
      <c r="E6" s="18">
        <f>177378+746804</f>
        <v>924182</v>
      </c>
      <c r="F6" s="18">
        <f>678504+400822</f>
        <v>1079326</v>
      </c>
      <c r="G6" s="18">
        <f>640591+314250</f>
        <v>954841</v>
      </c>
      <c r="H6" s="18">
        <f>558239+292394</f>
        <v>850633</v>
      </c>
      <c r="I6" s="18">
        <f>113831+328187</f>
        <v>442018</v>
      </c>
      <c r="J6" s="18">
        <f>144360+291533</f>
        <v>435893</v>
      </c>
      <c r="K6" s="18">
        <f>127971+292828</f>
        <v>420799</v>
      </c>
      <c r="L6" s="18">
        <f>755512+494956</f>
        <v>1250468</v>
      </c>
      <c r="M6" s="18">
        <f>731062+717251</f>
        <v>1448313</v>
      </c>
      <c r="N6" s="18">
        <f>793811+851718</f>
        <v>1645529</v>
      </c>
    </row>
    <row r="7" spans="1:14" ht="23.25" customHeight="1" x14ac:dyDescent="0.25">
      <c r="A7" s="27"/>
      <c r="B7" s="17" t="s">
        <v>32</v>
      </c>
      <c r="C7" s="18">
        <v>4228</v>
      </c>
      <c r="D7" s="18">
        <v>3835</v>
      </c>
      <c r="E7" s="18">
        <v>4057</v>
      </c>
      <c r="F7" s="18">
        <v>3742</v>
      </c>
      <c r="G7" s="18">
        <v>3544</v>
      </c>
      <c r="H7" s="18">
        <v>2885</v>
      </c>
      <c r="I7" s="18">
        <v>2490</v>
      </c>
      <c r="J7" s="18">
        <v>3522</v>
      </c>
      <c r="K7" s="18">
        <v>3583</v>
      </c>
      <c r="L7" s="18">
        <v>4126</v>
      </c>
      <c r="M7" s="18">
        <v>3905</v>
      </c>
      <c r="N7" s="18">
        <v>4280</v>
      </c>
    </row>
    <row r="8" spans="1:14" ht="25.5" customHeight="1" x14ac:dyDescent="0.25">
      <c r="A8" s="27"/>
      <c r="B8" s="17" t="s">
        <v>16</v>
      </c>
      <c r="C8" s="18">
        <v>523830</v>
      </c>
      <c r="D8" s="18">
        <v>444705</v>
      </c>
      <c r="E8" s="18">
        <v>367608</v>
      </c>
      <c r="F8" s="18">
        <v>114646</v>
      </c>
      <c r="G8" s="18">
        <v>111954</v>
      </c>
      <c r="H8" s="18">
        <v>90341</v>
      </c>
      <c r="I8" s="18">
        <v>100667</v>
      </c>
      <c r="J8" s="18">
        <v>93487</v>
      </c>
      <c r="K8" s="18">
        <v>106944</v>
      </c>
      <c r="L8" s="18">
        <v>255096</v>
      </c>
      <c r="M8" s="18">
        <v>457755</v>
      </c>
      <c r="N8" s="18">
        <v>523745</v>
      </c>
    </row>
    <row r="9" spans="1:14" ht="23.25" customHeight="1" x14ac:dyDescent="0.25">
      <c r="A9" s="27"/>
      <c r="B9" s="17" t="s">
        <v>17</v>
      </c>
      <c r="C9" s="18">
        <v>43561</v>
      </c>
      <c r="D9" s="18">
        <v>41193</v>
      </c>
      <c r="E9" s="18">
        <v>37870</v>
      </c>
      <c r="F9" s="18">
        <v>24250</v>
      </c>
      <c r="G9" s="18">
        <v>22671</v>
      </c>
      <c r="H9" s="18">
        <v>21895</v>
      </c>
      <c r="I9" s="18">
        <v>28487</v>
      </c>
      <c r="J9" s="18">
        <v>23831</v>
      </c>
      <c r="K9" s="18">
        <v>21008</v>
      </c>
      <c r="L9" s="18">
        <v>25724</v>
      </c>
      <c r="M9" s="18">
        <v>36660</v>
      </c>
      <c r="N9" s="18">
        <v>43031</v>
      </c>
    </row>
    <row r="10" spans="1:14" ht="24.75" customHeight="1" x14ac:dyDescent="0.25">
      <c r="A10" s="27"/>
      <c r="B10" s="33" t="s">
        <v>20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23.25" customHeight="1" x14ac:dyDescent="0.25">
      <c r="A11" s="27"/>
      <c r="B11" s="19"/>
      <c r="C11" s="18">
        <v>2915</v>
      </c>
      <c r="D11" s="18">
        <v>3996</v>
      </c>
      <c r="E11" s="18">
        <v>2905</v>
      </c>
      <c r="F11" s="18">
        <v>2374</v>
      </c>
      <c r="G11" s="18">
        <v>1908</v>
      </c>
      <c r="H11" s="18">
        <v>2532</v>
      </c>
      <c r="I11" s="18">
        <v>3661</v>
      </c>
      <c r="J11" s="18">
        <v>3734</v>
      </c>
      <c r="K11" s="18">
        <v>3089</v>
      </c>
      <c r="L11" s="18">
        <v>3333</v>
      </c>
      <c r="M11" s="18">
        <v>3858</v>
      </c>
      <c r="N11" s="18">
        <v>4034</v>
      </c>
    </row>
    <row r="12" spans="1:14" ht="23.25" customHeight="1" x14ac:dyDescent="0.25">
      <c r="A12" s="31" t="s">
        <v>18</v>
      </c>
      <c r="B12" s="32"/>
      <c r="C12" s="10">
        <f t="shared" ref="C12:N12" si="0">SUM(C5:C9,C11)</f>
        <v>19570007</v>
      </c>
      <c r="D12" s="10">
        <f>SUM(D5:D9,D11)</f>
        <v>18568774</v>
      </c>
      <c r="E12" s="10">
        <f>SUM(E5:E9,E11)</f>
        <v>18018699</v>
      </c>
      <c r="F12" s="10">
        <f t="shared" si="0"/>
        <v>15384906</v>
      </c>
      <c r="G12" s="10">
        <f>SUM(G5:G9,G11)</f>
        <v>15714513</v>
      </c>
      <c r="H12" s="10">
        <f>SUM(H5:H9,H11)</f>
        <v>13212821.6</v>
      </c>
      <c r="I12" s="10">
        <f t="shared" si="0"/>
        <v>13440014</v>
      </c>
      <c r="J12" s="10">
        <f t="shared" si="0"/>
        <v>13167115</v>
      </c>
      <c r="K12" s="10">
        <f t="shared" si="0"/>
        <v>12456023</v>
      </c>
      <c r="L12" s="10">
        <f>SUM(L5:L9,L11)</f>
        <v>15814496</v>
      </c>
      <c r="M12" s="10">
        <f t="shared" si="0"/>
        <v>17090995</v>
      </c>
      <c r="N12" s="10">
        <f t="shared" si="0"/>
        <v>18119154.759999998</v>
      </c>
    </row>
    <row r="15" spans="1:14" x14ac:dyDescent="0.25">
      <c r="F15" s="20"/>
    </row>
    <row r="22" spans="4:8" x14ac:dyDescent="0.25">
      <c r="D22" s="15"/>
      <c r="F22" s="16"/>
      <c r="H22" s="16"/>
    </row>
    <row r="23" spans="4:8" x14ac:dyDescent="0.25">
      <c r="D23" s="15"/>
      <c r="F23" s="16"/>
      <c r="H23" s="16"/>
    </row>
    <row r="24" spans="4:8" x14ac:dyDescent="0.25">
      <c r="D24" s="15"/>
      <c r="F24" s="16"/>
      <c r="H24" s="16"/>
    </row>
    <row r="25" spans="4:8" x14ac:dyDescent="0.25">
      <c r="D25" s="15"/>
      <c r="F25" s="16"/>
      <c r="H25" s="16"/>
    </row>
    <row r="26" spans="4:8" x14ac:dyDescent="0.25">
      <c r="D26" s="15"/>
      <c r="F26" s="16"/>
      <c r="H26" s="16"/>
    </row>
    <row r="27" spans="4:8" x14ac:dyDescent="0.25">
      <c r="D27" s="15"/>
    </row>
    <row r="28" spans="4:8" x14ac:dyDescent="0.25">
      <c r="D28" s="15"/>
    </row>
    <row r="29" spans="4:8" x14ac:dyDescent="0.25">
      <c r="D29" s="15"/>
    </row>
    <row r="30" spans="4:8" x14ac:dyDescent="0.25">
      <c r="D30" s="15"/>
    </row>
    <row r="31" spans="4:8" x14ac:dyDescent="0.25">
      <c r="D31" s="15"/>
    </row>
    <row r="32" spans="4:8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  <row r="47" spans="4:4" x14ac:dyDescent="0.25">
      <c r="D47" s="15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workbookViewId="0">
      <selection activeCell="A18" sqref="A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6" t="s">
        <v>26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ht="22.5" customHeight="1" x14ac:dyDescent="0.25">
      <c r="A5" s="27"/>
      <c r="B5" s="5" t="s">
        <v>14</v>
      </c>
      <c r="C5" s="3">
        <v>21508962</v>
      </c>
      <c r="D5" s="3">
        <v>18740072</v>
      </c>
      <c r="E5" s="3">
        <v>20274171</v>
      </c>
      <c r="F5" s="3">
        <v>17624930</v>
      </c>
      <c r="G5" s="3">
        <v>18717453</v>
      </c>
      <c r="H5" s="3">
        <v>18539326</v>
      </c>
      <c r="I5" s="3">
        <v>18870386</v>
      </c>
      <c r="J5" s="3">
        <v>18589586</v>
      </c>
      <c r="K5" s="3">
        <v>19670559</v>
      </c>
      <c r="L5" s="3">
        <v>22241328</v>
      </c>
      <c r="M5" s="3">
        <v>21647925</v>
      </c>
      <c r="N5" s="3">
        <v>23123077</v>
      </c>
    </row>
    <row r="6" spans="1:14" ht="22.5" customHeight="1" x14ac:dyDescent="0.25">
      <c r="A6" s="27"/>
      <c r="B6" s="5" t="s">
        <v>15</v>
      </c>
      <c r="C6" s="3">
        <v>1503007</v>
      </c>
      <c r="D6" s="3">
        <v>1531286</v>
      </c>
      <c r="E6" s="3">
        <v>1599510</v>
      </c>
      <c r="F6" s="3">
        <v>975224</v>
      </c>
      <c r="G6" s="3">
        <v>682817</v>
      </c>
      <c r="H6" s="3">
        <v>567635</v>
      </c>
      <c r="I6" s="3">
        <v>452509</v>
      </c>
      <c r="J6" s="3">
        <v>486257</v>
      </c>
      <c r="K6" s="3">
        <v>514805</v>
      </c>
      <c r="L6" s="3">
        <v>1274611</v>
      </c>
      <c r="M6" s="3">
        <v>1466594</v>
      </c>
      <c r="N6" s="3">
        <v>1626959</v>
      </c>
    </row>
    <row r="7" spans="1:14" ht="22.5" customHeight="1" x14ac:dyDescent="0.25">
      <c r="A7" s="27"/>
      <c r="B7" s="5" t="s">
        <v>16</v>
      </c>
      <c r="C7" s="3">
        <v>463328</v>
      </c>
      <c r="D7" s="3">
        <v>419676</v>
      </c>
      <c r="E7" s="3">
        <v>360404</v>
      </c>
      <c r="F7" s="3">
        <v>256942</v>
      </c>
      <c r="G7" s="3">
        <v>135160</v>
      </c>
      <c r="H7" s="3">
        <v>114788</v>
      </c>
      <c r="I7" s="3">
        <v>133181</v>
      </c>
      <c r="J7" s="3">
        <v>135888</v>
      </c>
      <c r="K7" s="3">
        <v>142765</v>
      </c>
      <c r="L7" s="3">
        <v>288754</v>
      </c>
      <c r="M7" s="3">
        <v>351030</v>
      </c>
      <c r="N7" s="3">
        <v>393296</v>
      </c>
    </row>
    <row r="8" spans="1:14" ht="22.5" customHeight="1" x14ac:dyDescent="0.25">
      <c r="A8" s="27"/>
      <c r="B8" s="5" t="s">
        <v>17</v>
      </c>
      <c r="C8" s="3">
        <v>67746</v>
      </c>
      <c r="D8" s="3">
        <v>60899</v>
      </c>
      <c r="E8" s="3">
        <v>46183</v>
      </c>
      <c r="F8" s="3">
        <v>41346</v>
      </c>
      <c r="G8" s="3">
        <v>28621</v>
      </c>
      <c r="H8" s="3">
        <v>26669</v>
      </c>
      <c r="I8" s="3">
        <v>32207</v>
      </c>
      <c r="J8" s="3">
        <v>35403</v>
      </c>
      <c r="K8" s="3">
        <v>30130</v>
      </c>
      <c r="L8" s="3">
        <v>48757</v>
      </c>
      <c r="M8" s="3">
        <v>60639</v>
      </c>
      <c r="N8" s="3">
        <v>73492</v>
      </c>
    </row>
    <row r="9" spans="1:14" ht="22.5" customHeight="1" x14ac:dyDescent="0.25">
      <c r="A9" s="27"/>
      <c r="B9" s="28" t="s">
        <v>20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22.5" customHeight="1" x14ac:dyDescent="0.25">
      <c r="A10" s="27"/>
      <c r="B10" s="4"/>
      <c r="C10" s="3">
        <v>3197</v>
      </c>
      <c r="D10" s="3">
        <v>3763</v>
      </c>
      <c r="E10" s="3">
        <v>3191</v>
      </c>
      <c r="F10" s="3">
        <v>2666</v>
      </c>
      <c r="G10" s="3">
        <v>2156</v>
      </c>
      <c r="H10" s="3">
        <v>1708</v>
      </c>
      <c r="I10" s="3">
        <v>1583</v>
      </c>
      <c r="J10" s="3">
        <v>1964</v>
      </c>
      <c r="K10" s="3">
        <v>1896</v>
      </c>
      <c r="L10" s="3">
        <v>4981</v>
      </c>
      <c r="M10" s="3">
        <v>4240</v>
      </c>
      <c r="N10" s="3">
        <v>4438</v>
      </c>
    </row>
    <row r="11" spans="1:14" ht="30.75" customHeight="1" x14ac:dyDescent="0.25">
      <c r="A11" s="27"/>
      <c r="B11" s="6" t="s">
        <v>18</v>
      </c>
      <c r="C11" s="3">
        <f t="shared" ref="C11:N11" si="0">SUM(C5:C8,C10)</f>
        <v>23546240</v>
      </c>
      <c r="D11" s="3">
        <f t="shared" si="0"/>
        <v>20755696</v>
      </c>
      <c r="E11" s="3">
        <f t="shared" si="0"/>
        <v>22283459</v>
      </c>
      <c r="F11" s="3">
        <f t="shared" si="0"/>
        <v>18901108</v>
      </c>
      <c r="G11" s="3">
        <f t="shared" si="0"/>
        <v>19566207</v>
      </c>
      <c r="H11" s="3">
        <f t="shared" si="0"/>
        <v>19250126</v>
      </c>
      <c r="I11" s="3">
        <f t="shared" si="0"/>
        <v>19489866</v>
      </c>
      <c r="J11" s="3">
        <f t="shared" si="0"/>
        <v>19249098</v>
      </c>
      <c r="K11" s="3">
        <f t="shared" si="0"/>
        <v>20360155</v>
      </c>
      <c r="L11" s="3">
        <f t="shared" si="0"/>
        <v>23858431</v>
      </c>
      <c r="M11" s="3">
        <f t="shared" si="0"/>
        <v>23530428</v>
      </c>
      <c r="N11" s="3">
        <f t="shared" si="0"/>
        <v>25221262</v>
      </c>
    </row>
    <row r="12" spans="1:14" ht="22.5" customHeight="1" x14ac:dyDescent="0.25">
      <c r="A12" s="31" t="s">
        <v>18</v>
      </c>
      <c r="B12" s="32"/>
      <c r="C12" s="10">
        <f>C11</f>
        <v>23546240</v>
      </c>
      <c r="D12" s="10">
        <f t="shared" ref="D12:M12" si="1">D11</f>
        <v>20755696</v>
      </c>
      <c r="E12" s="10">
        <f t="shared" si="1"/>
        <v>22283459</v>
      </c>
      <c r="F12" s="10">
        <f t="shared" si="1"/>
        <v>18901108</v>
      </c>
      <c r="G12" s="10">
        <f t="shared" si="1"/>
        <v>19566207</v>
      </c>
      <c r="H12" s="10">
        <f t="shared" si="1"/>
        <v>19250126</v>
      </c>
      <c r="I12" s="10">
        <f t="shared" si="1"/>
        <v>19489866</v>
      </c>
      <c r="J12" s="10">
        <f>J11</f>
        <v>19249098</v>
      </c>
      <c r="K12" s="10">
        <f t="shared" si="1"/>
        <v>20360155</v>
      </c>
      <c r="L12" s="10">
        <f>L11</f>
        <v>23858431</v>
      </c>
      <c r="M12" s="10">
        <f t="shared" si="1"/>
        <v>23530428</v>
      </c>
      <c r="N12" s="10">
        <f>N11</f>
        <v>25221262</v>
      </c>
    </row>
    <row r="14" spans="1:14" ht="22.5" customHeight="1" x14ac:dyDescent="0.25">
      <c r="D14" s="12"/>
      <c r="F14" s="13"/>
    </row>
    <row r="15" spans="1:14" ht="22.5" customHeight="1" x14ac:dyDescent="0.25">
      <c r="D15" s="12"/>
      <c r="F15" s="13"/>
    </row>
    <row r="16" spans="1:14" ht="22.5" customHeight="1" x14ac:dyDescent="0.25">
      <c r="D16" s="12"/>
      <c r="F16" s="13"/>
    </row>
    <row r="17" spans="4:6" ht="22.5" customHeight="1" x14ac:dyDescent="0.25">
      <c r="D17" s="12"/>
      <c r="F17" s="13"/>
    </row>
    <row r="18" spans="4:6" ht="22.5" customHeight="1" x14ac:dyDescent="0.25">
      <c r="D18" s="12"/>
      <c r="F18" s="13"/>
    </row>
    <row r="19" spans="4:6" ht="22.5" customHeight="1" x14ac:dyDescent="0.25">
      <c r="D19" s="12"/>
      <c r="F19" s="13"/>
    </row>
    <row r="20" spans="4:6" ht="22.5" customHeight="1" x14ac:dyDescent="0.25">
      <c r="D20" s="12"/>
      <c r="F20" s="13"/>
    </row>
    <row r="21" spans="4:6" ht="22.5" customHeight="1" x14ac:dyDescent="0.25">
      <c r="D21" s="12"/>
      <c r="F21" s="13"/>
    </row>
    <row r="22" spans="4:6" ht="22.5" customHeight="1" x14ac:dyDescent="0.25">
      <c r="D22" s="12"/>
      <c r="F22" s="13"/>
    </row>
    <row r="23" spans="4:6" ht="22.5" customHeight="1" x14ac:dyDescent="0.25">
      <c r="D23" s="12"/>
      <c r="F23" s="13"/>
    </row>
    <row r="24" spans="4:6" ht="22.5" customHeight="1" x14ac:dyDescent="0.25">
      <c r="D24" s="12"/>
      <c r="F24" s="13"/>
    </row>
    <row r="25" spans="4:6" ht="22.5" customHeight="1" x14ac:dyDescent="0.25">
      <c r="D25" s="12"/>
      <c r="F25" s="13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70" zoomScaleNormal="70" workbookViewId="0">
      <selection activeCell="A4" sqref="A4:A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6" t="s">
        <v>26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ht="22.5" customHeight="1" x14ac:dyDescent="0.25">
      <c r="A5" s="27"/>
      <c r="B5" s="5" t="s">
        <v>14</v>
      </c>
      <c r="C5" s="3">
        <v>23080883</v>
      </c>
      <c r="D5" s="3">
        <v>20352648</v>
      </c>
      <c r="E5" s="3">
        <v>20162626</v>
      </c>
      <c r="F5" s="3">
        <v>18033632</v>
      </c>
      <c r="G5" s="3">
        <v>17975351</v>
      </c>
      <c r="H5" s="3">
        <v>16611935</v>
      </c>
      <c r="I5" s="3">
        <v>18159539</v>
      </c>
      <c r="J5" s="3">
        <v>17632194</v>
      </c>
      <c r="K5" s="3">
        <v>16591338</v>
      </c>
      <c r="L5" s="3">
        <v>18301608</v>
      </c>
      <c r="M5" s="3">
        <f>20088556+787068</f>
        <v>20875624</v>
      </c>
      <c r="N5" s="3">
        <f>20557895+922891</f>
        <v>21480786</v>
      </c>
    </row>
    <row r="6" spans="1:14" ht="22.5" customHeight="1" x14ac:dyDescent="0.25">
      <c r="A6" s="27"/>
      <c r="B6" s="5" t="s">
        <v>15</v>
      </c>
      <c r="C6" s="3">
        <v>1575788</v>
      </c>
      <c r="D6" s="3">
        <v>1402698</v>
      </c>
      <c r="E6" s="3">
        <v>1283749</v>
      </c>
      <c r="F6" s="3">
        <v>1193686</v>
      </c>
      <c r="G6" s="3">
        <v>1023640</v>
      </c>
      <c r="H6" s="3">
        <v>669201</v>
      </c>
      <c r="I6" s="3">
        <v>664572</v>
      </c>
      <c r="J6" s="3">
        <v>600892</v>
      </c>
      <c r="K6" s="3">
        <v>646987</v>
      </c>
      <c r="L6" s="3">
        <v>1072701</v>
      </c>
      <c r="M6" s="3">
        <f>1094538+120531</f>
        <v>1215069</v>
      </c>
      <c r="N6" s="3">
        <f>1125848+130119</f>
        <v>1255967</v>
      </c>
    </row>
    <row r="7" spans="1:14" ht="22.5" customHeight="1" x14ac:dyDescent="0.25">
      <c r="A7" s="27"/>
      <c r="B7" s="5" t="s">
        <v>16</v>
      </c>
      <c r="C7" s="3">
        <v>404434</v>
      </c>
      <c r="D7" s="3">
        <v>372024</v>
      </c>
      <c r="E7" s="3">
        <v>347512</v>
      </c>
      <c r="F7" s="3">
        <v>252468</v>
      </c>
      <c r="G7" s="3">
        <v>113023</v>
      </c>
      <c r="H7" s="3">
        <v>118174</v>
      </c>
      <c r="I7" s="3">
        <v>122840</v>
      </c>
      <c r="J7" s="3">
        <v>125886</v>
      </c>
      <c r="K7" s="3">
        <v>118283</v>
      </c>
      <c r="L7" s="3">
        <v>266240</v>
      </c>
      <c r="M7" s="3">
        <f>121798+74939+85381+39618</f>
        <v>321736</v>
      </c>
      <c r="N7" s="3">
        <f>141846+92156+100087+42495</f>
        <v>376584</v>
      </c>
    </row>
    <row r="8" spans="1:14" ht="22.5" customHeight="1" x14ac:dyDescent="0.25">
      <c r="A8" s="27"/>
      <c r="B8" s="5" t="s">
        <v>17</v>
      </c>
      <c r="C8" s="3">
        <v>72243</v>
      </c>
      <c r="D8" s="3">
        <v>71572</v>
      </c>
      <c r="E8" s="3">
        <v>63416</v>
      </c>
      <c r="F8" s="3">
        <v>49083</v>
      </c>
      <c r="G8" s="3">
        <v>32080</v>
      </c>
      <c r="H8" s="3">
        <v>32815</v>
      </c>
      <c r="I8" s="3">
        <v>32673</v>
      </c>
      <c r="J8" s="3">
        <v>30957</v>
      </c>
      <c r="K8" s="3">
        <v>34619</v>
      </c>
      <c r="L8" s="3">
        <v>46697</v>
      </c>
      <c r="M8" s="3">
        <f>4999+62399</f>
        <v>67398</v>
      </c>
      <c r="N8" s="3">
        <f>6072+60242</f>
        <v>66314</v>
      </c>
    </row>
    <row r="9" spans="1:14" ht="22.5" customHeight="1" x14ac:dyDescent="0.25">
      <c r="A9" s="27"/>
      <c r="B9" s="28" t="s">
        <v>20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22.5" customHeight="1" x14ac:dyDescent="0.25">
      <c r="A10" s="27"/>
      <c r="B10" s="4"/>
      <c r="C10" s="3">
        <v>5094</v>
      </c>
      <c r="D10" s="3">
        <v>4116</v>
      </c>
      <c r="E10" s="3">
        <v>4007</v>
      </c>
      <c r="F10" s="3">
        <v>2909</v>
      </c>
      <c r="G10" s="3">
        <v>2200</v>
      </c>
      <c r="H10" s="3">
        <v>1534</v>
      </c>
      <c r="I10" s="3">
        <v>2416</v>
      </c>
      <c r="J10" s="3">
        <v>3146</v>
      </c>
      <c r="K10" s="3">
        <v>5147</v>
      </c>
      <c r="L10" s="3">
        <v>6138</v>
      </c>
      <c r="M10" s="3">
        <v>6286</v>
      </c>
      <c r="N10" s="3">
        <v>7108</v>
      </c>
    </row>
    <row r="11" spans="1:14" ht="22.5" customHeight="1" x14ac:dyDescent="0.25">
      <c r="A11" s="31" t="s">
        <v>18</v>
      </c>
      <c r="B11" s="32"/>
      <c r="C11" s="10">
        <f t="shared" ref="C11:N11" si="0">SUM(C5:C8,C10)</f>
        <v>25138442</v>
      </c>
      <c r="D11" s="10">
        <f t="shared" si="0"/>
        <v>22203058</v>
      </c>
      <c r="E11" s="10">
        <f t="shared" si="0"/>
        <v>21861310</v>
      </c>
      <c r="F11" s="10">
        <f t="shared" si="0"/>
        <v>19531778</v>
      </c>
      <c r="G11" s="10">
        <f t="shared" si="0"/>
        <v>19146294</v>
      </c>
      <c r="H11" s="10">
        <f t="shared" si="0"/>
        <v>17433659</v>
      </c>
      <c r="I11" s="10">
        <f t="shared" si="0"/>
        <v>18982040</v>
      </c>
      <c r="J11" s="10">
        <f t="shared" si="0"/>
        <v>18393075</v>
      </c>
      <c r="K11" s="10">
        <f t="shared" si="0"/>
        <v>17396374</v>
      </c>
      <c r="L11" s="10">
        <f t="shared" si="0"/>
        <v>19693384</v>
      </c>
      <c r="M11" s="10">
        <f t="shared" si="0"/>
        <v>22486113</v>
      </c>
      <c r="N11" s="10">
        <f t="shared" si="0"/>
        <v>23186759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zoomScale="70" zoomScaleNormal="70" workbookViewId="0">
      <selection activeCell="I27" sqref="I2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6" t="s">
        <v>25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ht="22.5" customHeight="1" x14ac:dyDescent="0.25">
      <c r="A5" s="27"/>
      <c r="B5" s="5" t="s">
        <v>14</v>
      </c>
      <c r="C5" s="3">
        <v>18902864</v>
      </c>
      <c r="D5" s="3">
        <v>18407234</v>
      </c>
      <c r="E5" s="3">
        <v>19192095.999999996</v>
      </c>
      <c r="F5" s="3">
        <v>15665963</v>
      </c>
      <c r="G5" s="3">
        <v>15737918</v>
      </c>
      <c r="H5" s="3">
        <v>16101353</v>
      </c>
      <c r="I5" s="3">
        <v>15446265</v>
      </c>
      <c r="J5" s="3">
        <v>14937737</v>
      </c>
      <c r="K5" s="3">
        <v>15052391</v>
      </c>
      <c r="L5" s="3">
        <v>20379574</v>
      </c>
      <c r="M5" s="3">
        <v>20180144</v>
      </c>
      <c r="N5" s="3">
        <v>21418794</v>
      </c>
    </row>
    <row r="6" spans="1:14" ht="22.5" customHeight="1" x14ac:dyDescent="0.25">
      <c r="A6" s="27"/>
      <c r="B6" s="5" t="s">
        <v>15</v>
      </c>
      <c r="C6" s="3">
        <v>1503460</v>
      </c>
      <c r="D6" s="3">
        <v>1195520</v>
      </c>
      <c r="E6" s="3">
        <v>1059956.9999999998</v>
      </c>
      <c r="F6" s="3">
        <v>714287</v>
      </c>
      <c r="G6" s="3">
        <v>676206</v>
      </c>
      <c r="H6" s="3">
        <v>594139</v>
      </c>
      <c r="I6" s="3">
        <v>629462</v>
      </c>
      <c r="J6" s="3">
        <v>498132</v>
      </c>
      <c r="K6" s="3">
        <v>610677</v>
      </c>
      <c r="L6" s="3">
        <v>910775</v>
      </c>
      <c r="M6" s="3">
        <v>1101407</v>
      </c>
      <c r="N6" s="3">
        <v>1542780</v>
      </c>
    </row>
    <row r="7" spans="1:14" ht="22.5" customHeight="1" x14ac:dyDescent="0.25">
      <c r="A7" s="27"/>
      <c r="B7" s="5" t="s">
        <v>16</v>
      </c>
      <c r="C7" s="3">
        <v>903410</v>
      </c>
      <c r="D7" s="3">
        <v>858226</v>
      </c>
      <c r="E7" s="3">
        <v>851354</v>
      </c>
      <c r="F7" s="3">
        <v>635441</v>
      </c>
      <c r="G7" s="3">
        <v>526211</v>
      </c>
      <c r="H7" s="3">
        <v>476600</v>
      </c>
      <c r="I7" s="3">
        <v>502765</v>
      </c>
      <c r="J7" s="3">
        <v>480626</v>
      </c>
      <c r="K7" s="3">
        <v>499871</v>
      </c>
      <c r="L7" s="3">
        <v>741162</v>
      </c>
      <c r="M7" s="3">
        <v>843337</v>
      </c>
      <c r="N7" s="3">
        <v>963828</v>
      </c>
    </row>
    <row r="8" spans="1:14" ht="22.5" customHeight="1" x14ac:dyDescent="0.25">
      <c r="A8" s="27"/>
      <c r="B8" s="5" t="s">
        <v>17</v>
      </c>
      <c r="C8" s="3">
        <v>77421</v>
      </c>
      <c r="D8" s="3">
        <v>68503</v>
      </c>
      <c r="E8" s="3">
        <v>50705</v>
      </c>
      <c r="F8" s="3">
        <v>39901</v>
      </c>
      <c r="G8" s="3">
        <v>30362.000000000004</v>
      </c>
      <c r="H8" s="3">
        <v>29840</v>
      </c>
      <c r="I8" s="3">
        <v>27776</v>
      </c>
      <c r="J8" s="3">
        <v>31333</v>
      </c>
      <c r="K8" s="3">
        <v>31464</v>
      </c>
      <c r="L8" s="3">
        <v>45974</v>
      </c>
      <c r="M8" s="3">
        <v>58623</v>
      </c>
      <c r="N8" s="3">
        <v>62946</v>
      </c>
    </row>
    <row r="9" spans="1:14" ht="22.5" customHeight="1" x14ac:dyDescent="0.25">
      <c r="A9" s="27"/>
      <c r="B9" s="28" t="s">
        <v>20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22.5" customHeight="1" x14ac:dyDescent="0.25">
      <c r="A10" s="27"/>
      <c r="B10" s="4"/>
      <c r="C10" s="3">
        <v>4776</v>
      </c>
      <c r="D10" s="3">
        <v>4959</v>
      </c>
      <c r="E10" s="3">
        <v>5886</v>
      </c>
      <c r="F10" s="3">
        <v>6149</v>
      </c>
      <c r="G10" s="3">
        <v>4735</v>
      </c>
      <c r="H10" s="3">
        <v>4390</v>
      </c>
      <c r="I10" s="3">
        <v>2600</v>
      </c>
      <c r="J10" s="3">
        <v>4926</v>
      </c>
      <c r="K10" s="3">
        <v>5467</v>
      </c>
      <c r="L10" s="3">
        <v>4878</v>
      </c>
      <c r="M10" s="3">
        <v>5633</v>
      </c>
      <c r="N10" s="3">
        <v>4631</v>
      </c>
    </row>
    <row r="11" spans="1:14" ht="22.5" customHeight="1" x14ac:dyDescent="0.25">
      <c r="A11" s="31" t="s">
        <v>18</v>
      </c>
      <c r="B11" s="32"/>
      <c r="C11" s="10">
        <f>SUM(C5:C8,C10)</f>
        <v>21391931</v>
      </c>
      <c r="D11" s="10">
        <f>SUM(D5:D8,D10)</f>
        <v>20534442</v>
      </c>
      <c r="E11" s="10">
        <f t="shared" ref="E11:N11" si="0">SUM(E5:E8,E10)</f>
        <v>21159997.999999996</v>
      </c>
      <c r="F11" s="10">
        <f t="shared" si="0"/>
        <v>17061741</v>
      </c>
      <c r="G11" s="10">
        <f t="shared" si="0"/>
        <v>16975432</v>
      </c>
      <c r="H11" s="10">
        <f t="shared" si="0"/>
        <v>17206322</v>
      </c>
      <c r="I11" s="10">
        <f t="shared" si="0"/>
        <v>16608868</v>
      </c>
      <c r="J11" s="10">
        <f t="shared" si="0"/>
        <v>15952754</v>
      </c>
      <c r="K11" s="10">
        <f t="shared" si="0"/>
        <v>16199870</v>
      </c>
      <c r="L11" s="10">
        <f t="shared" si="0"/>
        <v>22082363</v>
      </c>
      <c r="M11" s="10">
        <f t="shared" si="0"/>
        <v>22189144</v>
      </c>
      <c r="N11" s="10">
        <f t="shared" si="0"/>
        <v>23992979</v>
      </c>
    </row>
    <row r="18" spans="4:4" ht="22.5" customHeight="1" x14ac:dyDescent="0.25">
      <c r="D18" s="14"/>
    </row>
    <row r="19" spans="4:4" ht="22.5" customHeight="1" x14ac:dyDescent="0.25">
      <c r="D19" s="14"/>
    </row>
    <row r="20" spans="4:4" ht="22.5" customHeight="1" x14ac:dyDescent="0.25">
      <c r="D20" s="14"/>
    </row>
    <row r="21" spans="4:4" ht="22.5" customHeight="1" x14ac:dyDescent="0.25">
      <c r="D21" s="14"/>
    </row>
    <row r="22" spans="4:4" ht="22.5" customHeight="1" x14ac:dyDescent="0.25">
      <c r="D22" s="14"/>
    </row>
    <row r="23" spans="4:4" ht="22.5" customHeight="1" x14ac:dyDescent="0.25">
      <c r="D23" s="14"/>
    </row>
    <row r="24" spans="4:4" ht="22.5" customHeight="1" x14ac:dyDescent="0.25">
      <c r="D24" s="14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"/>
  <sheetViews>
    <sheetView zoomScale="70" zoomScaleNormal="70" workbookViewId="0">
      <selection activeCell="M30" sqref="M30"/>
    </sheetView>
  </sheetViews>
  <sheetFormatPr defaultRowHeight="15" x14ac:dyDescent="0.25"/>
  <cols>
    <col min="1" max="1" width="15.85546875" customWidth="1"/>
    <col min="2" max="2" width="14.85546875" customWidth="1"/>
    <col min="3" max="3" width="18.7109375" customWidth="1"/>
    <col min="4" max="4" width="15.7109375" customWidth="1"/>
    <col min="5" max="5" width="15" customWidth="1"/>
    <col min="6" max="6" width="17.7109375" customWidth="1"/>
    <col min="7" max="7" width="16.7109375" customWidth="1"/>
    <col min="8" max="8" width="20.7109375" customWidth="1"/>
    <col min="9" max="9" width="19.7109375" customWidth="1"/>
    <col min="10" max="10" width="19.5703125" customWidth="1"/>
    <col min="11" max="11" width="16.42578125" customWidth="1"/>
    <col min="12" max="12" width="14.85546875" customWidth="1"/>
    <col min="13" max="13" width="17.140625" customWidth="1"/>
    <col min="14" max="14" width="22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4.75" customHeight="1" x14ac:dyDescent="0.25">
      <c r="A4" s="26" t="s">
        <v>25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ht="23.25" customHeight="1" x14ac:dyDescent="0.25">
      <c r="A5" s="27"/>
      <c r="B5" s="17" t="s">
        <v>14</v>
      </c>
      <c r="C5" s="18">
        <v>20923257</v>
      </c>
      <c r="D5" s="18">
        <v>18799583</v>
      </c>
      <c r="E5" s="18">
        <v>20079232</v>
      </c>
      <c r="F5" s="18">
        <f>16972470+409368+658718</f>
        <v>18040556</v>
      </c>
      <c r="G5" s="18">
        <f>15952460+306428+531386</f>
        <v>16790274</v>
      </c>
      <c r="H5" s="18">
        <f>15044559+295435+478228</f>
        <v>15818222</v>
      </c>
      <c r="I5" s="18">
        <f>810618+14312366</f>
        <v>15122984</v>
      </c>
      <c r="J5" s="18">
        <f>15870969+829536</f>
        <v>16700505</v>
      </c>
      <c r="K5" s="18">
        <f>16647095+835616</f>
        <v>17482711</v>
      </c>
      <c r="L5" s="18">
        <f>18889319+1247688</f>
        <v>20137007</v>
      </c>
      <c r="M5" s="18">
        <f>19281888+1413374</f>
        <v>20695262</v>
      </c>
      <c r="N5" s="18">
        <f>21830061+1628557</f>
        <v>23458618</v>
      </c>
    </row>
    <row r="6" spans="1:14" ht="23.25" customHeight="1" x14ac:dyDescent="0.25">
      <c r="A6" s="27"/>
      <c r="B6" s="17" t="s">
        <v>15</v>
      </c>
      <c r="C6" s="18">
        <v>1589903</v>
      </c>
      <c r="D6" s="18">
        <v>1311820</v>
      </c>
      <c r="E6" s="18">
        <v>1013736</v>
      </c>
      <c r="F6" s="18">
        <f>326451+577370+58076</f>
        <v>961897</v>
      </c>
      <c r="G6" s="18">
        <f>346004+392707+23215</f>
        <v>761926</v>
      </c>
      <c r="H6" s="18">
        <f>355328+339513+17404</f>
        <v>712245</v>
      </c>
      <c r="I6" s="18">
        <f>371481+375422</f>
        <v>746903</v>
      </c>
      <c r="J6" s="18">
        <f>300547+354083</f>
        <v>654630</v>
      </c>
      <c r="K6" s="18">
        <f>196784+419692</f>
        <v>616476</v>
      </c>
      <c r="L6" s="18">
        <f>243242+753164</f>
        <v>996406</v>
      </c>
      <c r="M6" s="18">
        <f>376532+970572</f>
        <v>1347104</v>
      </c>
      <c r="N6" s="18">
        <f>253456+1064699</f>
        <v>1318155</v>
      </c>
    </row>
    <row r="7" spans="1:14" ht="25.5" customHeight="1" x14ac:dyDescent="0.25">
      <c r="A7" s="27"/>
      <c r="B7" s="17" t="s">
        <v>16</v>
      </c>
      <c r="C7" s="18">
        <v>958985</v>
      </c>
      <c r="D7" s="18">
        <v>931193</v>
      </c>
      <c r="E7" s="18">
        <v>854808</v>
      </c>
      <c r="F7" s="18">
        <f>66936+28061+86908+45188</f>
        <v>227093</v>
      </c>
      <c r="G7" s="18">
        <f>56166+18971+46639</f>
        <v>121776</v>
      </c>
      <c r="H7" s="18">
        <f>52336+39554+21943</f>
        <v>113833</v>
      </c>
      <c r="I7" s="18">
        <v>133822</v>
      </c>
      <c r="J7" s="18">
        <v>126573</v>
      </c>
      <c r="K7" s="18">
        <v>105759</v>
      </c>
      <c r="L7" s="18">
        <v>240037</v>
      </c>
      <c r="M7" s="18">
        <v>298230</v>
      </c>
      <c r="N7" s="18">
        <v>388689</v>
      </c>
    </row>
    <row r="8" spans="1:14" ht="23.25" customHeight="1" x14ac:dyDescent="0.25">
      <c r="A8" s="27"/>
      <c r="B8" s="17" t="s">
        <v>17</v>
      </c>
      <c r="C8" s="18">
        <v>69343</v>
      </c>
      <c r="D8" s="18">
        <v>67772</v>
      </c>
      <c r="E8" s="18">
        <v>58014</v>
      </c>
      <c r="F8" s="18">
        <f>48521+2271</f>
        <v>50792</v>
      </c>
      <c r="G8" s="18">
        <f>35407+1497</f>
        <v>36904</v>
      </c>
      <c r="H8" s="18">
        <f>28131+1129</f>
        <v>29260</v>
      </c>
      <c r="I8" s="18">
        <v>30407</v>
      </c>
      <c r="J8" s="18">
        <v>34244</v>
      </c>
      <c r="K8" s="18">
        <v>29599</v>
      </c>
      <c r="L8" s="18">
        <v>44558</v>
      </c>
      <c r="M8" s="18">
        <v>48867</v>
      </c>
      <c r="N8" s="18">
        <v>59566</v>
      </c>
    </row>
    <row r="9" spans="1:14" ht="24.75" customHeight="1" x14ac:dyDescent="0.25">
      <c r="A9" s="27"/>
      <c r="B9" s="33" t="s">
        <v>20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</row>
    <row r="10" spans="1:14" ht="23.25" customHeight="1" x14ac:dyDescent="0.25">
      <c r="A10" s="27"/>
      <c r="B10" s="19"/>
      <c r="C10" s="18">
        <v>4081</v>
      </c>
      <c r="D10" s="18">
        <v>3637</v>
      </c>
      <c r="E10" s="18">
        <v>4654</v>
      </c>
      <c r="F10" s="18">
        <v>4456</v>
      </c>
      <c r="G10" s="18">
        <v>4292</v>
      </c>
      <c r="H10" s="18">
        <v>4804</v>
      </c>
      <c r="I10" s="18">
        <v>2992</v>
      </c>
      <c r="J10" s="18">
        <v>4282</v>
      </c>
      <c r="K10" s="18">
        <v>4422</v>
      </c>
      <c r="L10" s="18">
        <v>5976</v>
      </c>
      <c r="M10" s="18">
        <v>5713</v>
      </c>
      <c r="N10" s="18">
        <v>4210</v>
      </c>
    </row>
    <row r="11" spans="1:14" ht="23.25" customHeight="1" x14ac:dyDescent="0.25">
      <c r="A11" s="31" t="s">
        <v>18</v>
      </c>
      <c r="B11" s="32"/>
      <c r="C11" s="10">
        <f t="shared" ref="C11:E11" si="0">SUM(C5:C8,C10)</f>
        <v>23545569</v>
      </c>
      <c r="D11" s="10">
        <f>SUM(D5:D8,D10)</f>
        <v>21114005</v>
      </c>
      <c r="E11" s="10">
        <f t="shared" si="0"/>
        <v>22010444</v>
      </c>
      <c r="F11" s="10">
        <f t="shared" ref="F11:N11" si="1">SUM(F5:F8,F10)</f>
        <v>19284794</v>
      </c>
      <c r="G11" s="10">
        <f t="shared" si="1"/>
        <v>17715172</v>
      </c>
      <c r="H11" s="10">
        <f t="shared" si="1"/>
        <v>16678364</v>
      </c>
      <c r="I11" s="10">
        <f t="shared" si="1"/>
        <v>16037108</v>
      </c>
      <c r="J11" s="10">
        <f t="shared" si="1"/>
        <v>17520234</v>
      </c>
      <c r="K11" s="10">
        <f t="shared" si="1"/>
        <v>18238967</v>
      </c>
      <c r="L11" s="10">
        <f t="shared" si="1"/>
        <v>21423984</v>
      </c>
      <c r="M11" s="10">
        <f t="shared" si="1"/>
        <v>22395176</v>
      </c>
      <c r="N11" s="10">
        <f t="shared" si="1"/>
        <v>25229238</v>
      </c>
    </row>
    <row r="14" spans="1:14" x14ac:dyDescent="0.25">
      <c r="F14" s="20"/>
    </row>
    <row r="21" spans="4:8" x14ac:dyDescent="0.25">
      <c r="D21" s="15"/>
      <c r="F21" s="16"/>
      <c r="H21" s="16"/>
    </row>
    <row r="22" spans="4:8" x14ac:dyDescent="0.25">
      <c r="D22" s="15"/>
      <c r="F22" s="16"/>
      <c r="H22" s="16"/>
    </row>
    <row r="23" spans="4:8" x14ac:dyDescent="0.25">
      <c r="D23" s="15"/>
      <c r="F23" s="16"/>
      <c r="H23" s="16"/>
    </row>
    <row r="24" spans="4:8" x14ac:dyDescent="0.25">
      <c r="D24" s="15"/>
      <c r="F24" s="16"/>
      <c r="H24" s="16"/>
    </row>
    <row r="25" spans="4:8" x14ac:dyDescent="0.25">
      <c r="D25" s="15"/>
      <c r="F25" s="16"/>
      <c r="H25" s="16"/>
    </row>
    <row r="26" spans="4:8" x14ac:dyDescent="0.25">
      <c r="D26" s="15"/>
    </row>
    <row r="27" spans="4:8" x14ac:dyDescent="0.25">
      <c r="D27" s="15"/>
    </row>
    <row r="28" spans="4:8" x14ac:dyDescent="0.25">
      <c r="D28" s="15"/>
    </row>
    <row r="29" spans="4:8" x14ac:dyDescent="0.25">
      <c r="D29" s="15"/>
    </row>
    <row r="30" spans="4:8" x14ac:dyDescent="0.25">
      <c r="D30" s="15"/>
    </row>
    <row r="31" spans="4:8" x14ac:dyDescent="0.25">
      <c r="D31" s="15"/>
    </row>
    <row r="32" spans="4:8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"/>
  <sheetViews>
    <sheetView zoomScale="70" zoomScaleNormal="70" workbookViewId="0">
      <selection activeCell="M30" sqref="M30"/>
    </sheetView>
  </sheetViews>
  <sheetFormatPr defaultRowHeight="15" x14ac:dyDescent="0.25"/>
  <cols>
    <col min="1" max="1" width="15.85546875" customWidth="1"/>
    <col min="2" max="2" width="14.85546875" customWidth="1"/>
    <col min="3" max="3" width="18.7109375" customWidth="1"/>
    <col min="4" max="4" width="15.7109375" customWidth="1"/>
    <col min="5" max="5" width="15" customWidth="1"/>
    <col min="6" max="6" width="17.7109375" customWidth="1"/>
    <col min="7" max="7" width="16.7109375" customWidth="1"/>
    <col min="8" max="8" width="20.7109375" customWidth="1"/>
    <col min="9" max="9" width="19.7109375" customWidth="1"/>
    <col min="10" max="10" width="19.5703125" customWidth="1"/>
    <col min="11" max="11" width="16.42578125" customWidth="1"/>
    <col min="12" max="12" width="14.85546875" customWidth="1"/>
    <col min="13" max="13" width="17.140625" customWidth="1"/>
    <col min="14" max="14" width="22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5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4.75" customHeight="1" x14ac:dyDescent="0.25">
      <c r="A4" s="26" t="s">
        <v>25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ht="23.25" customHeight="1" x14ac:dyDescent="0.25">
      <c r="A5" s="27"/>
      <c r="B5" s="17" t="s">
        <v>14</v>
      </c>
      <c r="C5" s="18">
        <v>22245367</v>
      </c>
      <c r="D5" s="18">
        <f>18893263+1531281</f>
        <v>20424544</v>
      </c>
      <c r="E5" s="18">
        <f>21892044+1715054</f>
        <v>23607098</v>
      </c>
      <c r="F5" s="18">
        <f>16330787+1017533</f>
        <v>17348320</v>
      </c>
      <c r="G5" s="18">
        <f>15648922+708066</f>
        <v>16356988</v>
      </c>
      <c r="H5" s="18">
        <f>14785541+691926</f>
        <v>15477467</v>
      </c>
      <c r="I5" s="18">
        <f>15637637+734277</f>
        <v>16371914</v>
      </c>
      <c r="J5" s="18">
        <f>15819913+731752</f>
        <v>16551665</v>
      </c>
      <c r="K5" s="18">
        <f>16118589+754671</f>
        <v>16873260</v>
      </c>
      <c r="L5" s="18">
        <f>17283858+1037067</f>
        <v>18320925</v>
      </c>
      <c r="M5" s="18">
        <f>18332752+1409629</f>
        <v>19742381</v>
      </c>
      <c r="N5" s="18">
        <f>19683094+1705397</f>
        <v>21388491</v>
      </c>
    </row>
    <row r="6" spans="1:14" ht="23.25" customHeight="1" x14ac:dyDescent="0.25">
      <c r="A6" s="27"/>
      <c r="B6" s="17" t="s">
        <v>15</v>
      </c>
      <c r="C6" s="18">
        <v>1288694</v>
      </c>
      <c r="D6" s="18">
        <f>155181+1081093</f>
        <v>1236274</v>
      </c>
      <c r="E6" s="18">
        <f>165373+1089872</f>
        <v>1255245</v>
      </c>
      <c r="F6" s="18">
        <v>649668</v>
      </c>
      <c r="G6" s="18">
        <f>137046+406266</f>
        <v>543312</v>
      </c>
      <c r="H6" s="18">
        <f>151857+353414</f>
        <v>505271</v>
      </c>
      <c r="I6" s="18">
        <f>97949+377323</f>
        <v>475272</v>
      </c>
      <c r="J6" s="18">
        <f>108547+372828</f>
        <v>481375</v>
      </c>
      <c r="K6" s="18">
        <f>114795+408951</f>
        <v>523746</v>
      </c>
      <c r="L6" s="18">
        <f>259591+638281</f>
        <v>897872</v>
      </c>
      <c r="M6" s="18">
        <f>179885+950200</f>
        <v>1130085</v>
      </c>
      <c r="N6" s="18">
        <f>179394+1197928</f>
        <v>1377322</v>
      </c>
    </row>
    <row r="7" spans="1:14" ht="25.5" customHeight="1" x14ac:dyDescent="0.25">
      <c r="A7" s="27"/>
      <c r="B7" s="17" t="s">
        <v>16</v>
      </c>
      <c r="C7" s="18">
        <v>372918</v>
      </c>
      <c r="D7" s="18">
        <f>349154</f>
        <v>349154</v>
      </c>
      <c r="E7" s="18">
        <v>393769</v>
      </c>
      <c r="F7" s="18">
        <f>395983+216910</f>
        <v>612893</v>
      </c>
      <c r="G7" s="18">
        <v>101527</v>
      </c>
      <c r="H7" s="18">
        <f>111684</f>
        <v>111684</v>
      </c>
      <c r="I7" s="18">
        <v>143899</v>
      </c>
      <c r="J7" s="18">
        <v>139338</v>
      </c>
      <c r="K7" s="18">
        <v>134393</v>
      </c>
      <c r="L7" s="18">
        <v>227315</v>
      </c>
      <c r="M7" s="18">
        <v>330757</v>
      </c>
      <c r="N7" s="18">
        <v>379842</v>
      </c>
    </row>
    <row r="8" spans="1:14" ht="23.25" customHeight="1" x14ac:dyDescent="0.25">
      <c r="A8" s="27"/>
      <c r="B8" s="17" t="s">
        <v>17</v>
      </c>
      <c r="C8" s="18">
        <v>62834</v>
      </c>
      <c r="D8" s="18">
        <v>60071</v>
      </c>
      <c r="E8" s="18">
        <v>63252</v>
      </c>
      <c r="F8" s="18">
        <v>49870</v>
      </c>
      <c r="G8" s="18">
        <v>26547</v>
      </c>
      <c r="H8" s="18">
        <f>23963</f>
        <v>23963</v>
      </c>
      <c r="I8" s="18">
        <v>29424</v>
      </c>
      <c r="J8" s="18">
        <v>29411</v>
      </c>
      <c r="K8" s="18">
        <v>24614</v>
      </c>
      <c r="L8" s="18">
        <v>39249</v>
      </c>
      <c r="M8" s="18">
        <v>46732</v>
      </c>
      <c r="N8" s="18">
        <v>60460</v>
      </c>
    </row>
    <row r="9" spans="1:14" ht="24.75" customHeight="1" x14ac:dyDescent="0.25">
      <c r="A9" s="27"/>
      <c r="B9" s="33" t="s">
        <v>20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</row>
    <row r="10" spans="1:14" ht="23.25" customHeight="1" x14ac:dyDescent="0.25">
      <c r="A10" s="27"/>
      <c r="B10" s="19"/>
      <c r="C10" s="18">
        <v>3323</v>
      </c>
      <c r="D10" s="18">
        <v>4320</v>
      </c>
      <c r="E10" s="18">
        <v>4389</v>
      </c>
      <c r="F10" s="18">
        <v>5693</v>
      </c>
      <c r="G10" s="18">
        <v>5501</v>
      </c>
      <c r="H10" s="18">
        <v>5153</v>
      </c>
      <c r="I10" s="18">
        <v>4526</v>
      </c>
      <c r="J10" s="18">
        <v>3217</v>
      </c>
      <c r="K10" s="18">
        <v>4229</v>
      </c>
      <c r="L10" s="18">
        <v>6424</v>
      </c>
      <c r="M10" s="18">
        <v>4530</v>
      </c>
      <c r="N10" s="18">
        <v>5234</v>
      </c>
    </row>
    <row r="11" spans="1:14" ht="23.25" customHeight="1" x14ac:dyDescent="0.25">
      <c r="A11" s="31" t="s">
        <v>18</v>
      </c>
      <c r="B11" s="32"/>
      <c r="C11" s="10">
        <f t="shared" ref="C11:N11" si="0">SUM(C5:C8,C10)</f>
        <v>23973136</v>
      </c>
      <c r="D11" s="10">
        <f>SUM(D5:D8,D10)</f>
        <v>22074363</v>
      </c>
      <c r="E11" s="10">
        <f>SUM(E5:E8,E10)</f>
        <v>25323753</v>
      </c>
      <c r="F11" s="10">
        <f t="shared" si="0"/>
        <v>18666444</v>
      </c>
      <c r="G11" s="10">
        <f>SUM(G5:G8,G10)</f>
        <v>17033875</v>
      </c>
      <c r="H11" s="10">
        <f>SUM(H5:H8,H10)</f>
        <v>16123538</v>
      </c>
      <c r="I11" s="10">
        <f t="shared" si="0"/>
        <v>17025035</v>
      </c>
      <c r="J11" s="10">
        <f t="shared" si="0"/>
        <v>17205006</v>
      </c>
      <c r="K11" s="10">
        <f t="shared" si="0"/>
        <v>17560242</v>
      </c>
      <c r="L11" s="10">
        <f t="shared" si="0"/>
        <v>19491785</v>
      </c>
      <c r="M11" s="10">
        <f t="shared" si="0"/>
        <v>21254485</v>
      </c>
      <c r="N11" s="10">
        <f t="shared" si="0"/>
        <v>23211349</v>
      </c>
    </row>
    <row r="14" spans="1:14" x14ac:dyDescent="0.25">
      <c r="F14" s="20"/>
    </row>
    <row r="21" spans="4:8" x14ac:dyDescent="0.25">
      <c r="D21" s="15"/>
      <c r="F21" s="16"/>
      <c r="H21" s="16"/>
    </row>
    <row r="22" spans="4:8" x14ac:dyDescent="0.25">
      <c r="D22" s="15"/>
      <c r="F22" s="16"/>
      <c r="H22" s="16"/>
    </row>
    <row r="23" spans="4:8" x14ac:dyDescent="0.25">
      <c r="D23" s="15"/>
      <c r="F23" s="16"/>
      <c r="H23" s="16"/>
    </row>
    <row r="24" spans="4:8" x14ac:dyDescent="0.25">
      <c r="D24" s="15"/>
      <c r="F24" s="16"/>
      <c r="H24" s="16"/>
    </row>
    <row r="25" spans="4:8" x14ac:dyDescent="0.25">
      <c r="D25" s="15"/>
      <c r="F25" s="16"/>
      <c r="H25" s="16"/>
    </row>
    <row r="26" spans="4:8" x14ac:dyDescent="0.25">
      <c r="D26" s="15"/>
    </row>
    <row r="27" spans="4:8" x14ac:dyDescent="0.25">
      <c r="D27" s="15"/>
    </row>
    <row r="28" spans="4:8" x14ac:dyDescent="0.25">
      <c r="D28" s="15"/>
    </row>
    <row r="29" spans="4:8" x14ac:dyDescent="0.25">
      <c r="D29" s="15"/>
    </row>
    <row r="30" spans="4:8" x14ac:dyDescent="0.25">
      <c r="D30" s="15"/>
    </row>
    <row r="31" spans="4:8" x14ac:dyDescent="0.25">
      <c r="D31" s="15"/>
    </row>
    <row r="32" spans="4:8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6"/>
  <sheetViews>
    <sheetView topLeftCell="B1" zoomScale="70" zoomScaleNormal="70" workbookViewId="0">
      <selection activeCell="M30" sqref="M30"/>
    </sheetView>
  </sheetViews>
  <sheetFormatPr defaultRowHeight="15" x14ac:dyDescent="0.25"/>
  <cols>
    <col min="1" max="1" width="15.85546875" customWidth="1"/>
    <col min="2" max="2" width="14.85546875" customWidth="1"/>
    <col min="3" max="14" width="20.85546875" customWidth="1"/>
    <col min="15" max="15" width="9.140625" style="22"/>
    <col min="17" max="17" width="11.140625" style="22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7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7" ht="24.75" customHeight="1" x14ac:dyDescent="0.25">
      <c r="A4" s="26" t="s">
        <v>25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7" ht="23.25" customHeight="1" x14ac:dyDescent="0.25">
      <c r="A5" s="27"/>
      <c r="B5" s="17" t="s">
        <v>14</v>
      </c>
      <c r="C5" s="18">
        <f>18787451+1694804</f>
        <v>20482255</v>
      </c>
      <c r="D5" s="18">
        <f>18331026+1424714</f>
        <v>19755740</v>
      </c>
      <c r="E5" s="18">
        <f>19559515+1383017</f>
        <v>20942532</v>
      </c>
      <c r="F5" s="18">
        <f>16108310+930482</f>
        <v>17038792</v>
      </c>
      <c r="G5" s="18">
        <f>16888243+717743</f>
        <v>17605986</v>
      </c>
      <c r="H5" s="18">
        <f>14543351+707651</f>
        <v>15251002</v>
      </c>
      <c r="I5" s="18">
        <f>13799605+694747</f>
        <v>14494352</v>
      </c>
      <c r="J5" s="18">
        <f>14539642+733921</f>
        <v>15273563</v>
      </c>
      <c r="K5" s="18">
        <f>15434508.8+752295</f>
        <v>16186803.800000001</v>
      </c>
      <c r="L5" s="18">
        <f>19017302+969406</f>
        <v>19986708</v>
      </c>
      <c r="M5" s="18">
        <f>18461462+1298999</f>
        <v>19760461</v>
      </c>
      <c r="N5" s="18">
        <f>18667718+1505320</f>
        <v>20173038</v>
      </c>
      <c r="O5" s="22">
        <f>N5/M5</f>
        <v>1.0208789157297493</v>
      </c>
      <c r="Q5" s="21">
        <f>AVERAGE(C5:N5)</f>
        <v>18079269.400000002</v>
      </c>
    </row>
    <row r="6" spans="1:17" ht="23.25" customHeight="1" x14ac:dyDescent="0.25">
      <c r="A6" s="27"/>
      <c r="B6" s="17" t="s">
        <v>15</v>
      </c>
      <c r="C6" s="18">
        <f>163847+1150965</f>
        <v>1314812</v>
      </c>
      <c r="D6" s="18">
        <f>152346+989107</f>
        <v>1141453</v>
      </c>
      <c r="E6" s="18">
        <f>157491+935111</f>
        <v>1092602</v>
      </c>
      <c r="F6" s="18">
        <f>148389+630740</f>
        <v>779129</v>
      </c>
      <c r="G6" s="18">
        <f>112818+326544</f>
        <v>439362</v>
      </c>
      <c r="H6" s="18">
        <f>186079+347424</f>
        <v>533503</v>
      </c>
      <c r="I6" s="18">
        <f>141875+384430</f>
        <v>526305</v>
      </c>
      <c r="J6" s="18">
        <f>111815+400167</f>
        <v>511982</v>
      </c>
      <c r="K6" s="18">
        <f>102663+451877</f>
        <v>554540</v>
      </c>
      <c r="L6" s="18">
        <f>126934+675235</f>
        <v>802169</v>
      </c>
      <c r="M6" s="18">
        <f>139770+888786</f>
        <v>1028556</v>
      </c>
      <c r="N6" s="18">
        <f>142408+1008987</f>
        <v>1151395</v>
      </c>
      <c r="O6" s="22">
        <f t="shared" ref="O6:O8" si="0">N6/M6</f>
        <v>1.1194285969845104</v>
      </c>
      <c r="Q6" s="21">
        <f t="shared" ref="Q6:Q10" si="1">AVERAGE(C6:N6)</f>
        <v>822984</v>
      </c>
    </row>
    <row r="7" spans="1:17" ht="25.5" customHeight="1" x14ac:dyDescent="0.25">
      <c r="A7" s="27"/>
      <c r="B7" s="17" t="s">
        <v>16</v>
      </c>
      <c r="C7" s="18">
        <v>396742</v>
      </c>
      <c r="D7" s="18">
        <v>335186</v>
      </c>
      <c r="E7" s="18">
        <v>338788</v>
      </c>
      <c r="F7" s="18">
        <v>208206</v>
      </c>
      <c r="G7" s="18">
        <v>134749</v>
      </c>
      <c r="H7" s="18">
        <v>115144</v>
      </c>
      <c r="I7" s="18">
        <v>122227</v>
      </c>
      <c r="J7" s="18">
        <v>132604</v>
      </c>
      <c r="K7" s="18">
        <v>119199</v>
      </c>
      <c r="L7" s="18">
        <v>230664</v>
      </c>
      <c r="M7" s="18">
        <v>343461</v>
      </c>
      <c r="N7" s="18">
        <v>339041</v>
      </c>
      <c r="O7" s="22">
        <f t="shared" si="0"/>
        <v>0.98713099886158839</v>
      </c>
      <c r="Q7" s="21">
        <f t="shared" si="1"/>
        <v>234667.58333333334</v>
      </c>
    </row>
    <row r="8" spans="1:17" ht="23.25" customHeight="1" x14ac:dyDescent="0.25">
      <c r="A8" s="27"/>
      <c r="B8" s="17" t="s">
        <v>17</v>
      </c>
      <c r="C8" s="18">
        <v>66372</v>
      </c>
      <c r="D8" s="18">
        <v>61122</v>
      </c>
      <c r="E8" s="18">
        <v>53887</v>
      </c>
      <c r="F8" s="18">
        <v>40372</v>
      </c>
      <c r="G8" s="18">
        <v>23315</v>
      </c>
      <c r="H8" s="18">
        <v>25641</v>
      </c>
      <c r="I8" s="18">
        <v>24127</v>
      </c>
      <c r="J8" s="18">
        <v>24506</v>
      </c>
      <c r="K8" s="18">
        <v>28133</v>
      </c>
      <c r="L8" s="18">
        <v>33665</v>
      </c>
      <c r="M8" s="18">
        <v>44740</v>
      </c>
      <c r="N8" s="18">
        <v>52939</v>
      </c>
      <c r="O8" s="22">
        <f t="shared" si="0"/>
        <v>1.1832588287885561</v>
      </c>
      <c r="Q8" s="21">
        <f t="shared" si="1"/>
        <v>39901.583333333336</v>
      </c>
    </row>
    <row r="9" spans="1:17" ht="24.75" customHeight="1" x14ac:dyDescent="0.25">
      <c r="A9" s="27"/>
      <c r="B9" s="33" t="s">
        <v>20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Q9" s="21"/>
    </row>
    <row r="10" spans="1:17" ht="23.25" customHeight="1" x14ac:dyDescent="0.25">
      <c r="A10" s="27"/>
      <c r="B10" s="19"/>
      <c r="C10" s="18">
        <v>6483</v>
      </c>
      <c r="D10" s="18">
        <v>5223</v>
      </c>
      <c r="E10" s="18">
        <v>5191</v>
      </c>
      <c r="F10" s="18">
        <v>5443</v>
      </c>
      <c r="G10" s="18">
        <v>4195</v>
      </c>
      <c r="H10" s="18">
        <v>4831</v>
      </c>
      <c r="I10" s="18">
        <v>4776</v>
      </c>
      <c r="J10" s="18">
        <v>4769</v>
      </c>
      <c r="K10" s="18">
        <v>4484</v>
      </c>
      <c r="L10" s="18">
        <v>5632</v>
      </c>
      <c r="M10" s="18">
        <v>5186</v>
      </c>
      <c r="N10" s="18">
        <v>6370</v>
      </c>
      <c r="O10" s="22">
        <f>N10/M10</f>
        <v>1.2283069803316622</v>
      </c>
      <c r="Q10" s="21">
        <f t="shared" si="1"/>
        <v>5215.25</v>
      </c>
    </row>
    <row r="11" spans="1:17" ht="23.25" customHeight="1" x14ac:dyDescent="0.25">
      <c r="A11" s="31" t="s">
        <v>18</v>
      </c>
      <c r="B11" s="32"/>
      <c r="C11" s="10">
        <f t="shared" ref="C11:N11" si="2">SUM(C5:C8,C10)</f>
        <v>22266664</v>
      </c>
      <c r="D11" s="10">
        <f>SUM(D5:D8,D10)</f>
        <v>21298724</v>
      </c>
      <c r="E11" s="10">
        <f>SUM(E5:E8,E10)</f>
        <v>22433000</v>
      </c>
      <c r="F11" s="10">
        <f t="shared" si="2"/>
        <v>18071942</v>
      </c>
      <c r="G11" s="10">
        <f>SUM(G5:G8,G10)</f>
        <v>18207607</v>
      </c>
      <c r="H11" s="10">
        <f>SUM(H5:H8,H10)</f>
        <v>15930121</v>
      </c>
      <c r="I11" s="10">
        <f t="shared" si="2"/>
        <v>15171787</v>
      </c>
      <c r="J11" s="10">
        <f t="shared" si="2"/>
        <v>15947424</v>
      </c>
      <c r="K11" s="10">
        <f t="shared" si="2"/>
        <v>16893159.800000001</v>
      </c>
      <c r="L11" s="10">
        <f>SUM(L5:L8,L10)</f>
        <v>21058838</v>
      </c>
      <c r="M11" s="10">
        <f t="shared" si="2"/>
        <v>21182404</v>
      </c>
      <c r="N11" s="10">
        <f t="shared" si="2"/>
        <v>21722783</v>
      </c>
    </row>
    <row r="14" spans="1:17" x14ac:dyDescent="0.25">
      <c r="F14" s="20"/>
    </row>
    <row r="21" spans="4:8" x14ac:dyDescent="0.25">
      <c r="D21" s="15"/>
      <c r="F21" s="16"/>
      <c r="H21" s="16"/>
    </row>
    <row r="22" spans="4:8" x14ac:dyDescent="0.25">
      <c r="D22" s="15"/>
      <c r="F22" s="16"/>
      <c r="H22" s="16"/>
    </row>
    <row r="23" spans="4:8" x14ac:dyDescent="0.25">
      <c r="D23" s="15"/>
      <c r="F23" s="16"/>
      <c r="H23" s="16"/>
    </row>
    <row r="24" spans="4:8" x14ac:dyDescent="0.25">
      <c r="D24" s="15"/>
      <c r="F24" s="16"/>
      <c r="H24" s="16"/>
    </row>
    <row r="25" spans="4:8" x14ac:dyDescent="0.25">
      <c r="D25" s="15"/>
      <c r="F25" s="16"/>
      <c r="H25" s="16"/>
    </row>
    <row r="26" spans="4:8" x14ac:dyDescent="0.25">
      <c r="D26" s="15"/>
    </row>
    <row r="27" spans="4:8" x14ac:dyDescent="0.25">
      <c r="D27" s="15"/>
    </row>
    <row r="28" spans="4:8" x14ac:dyDescent="0.25">
      <c r="D28" s="15"/>
    </row>
    <row r="29" spans="4:8" x14ac:dyDescent="0.25">
      <c r="D29" s="15"/>
    </row>
    <row r="30" spans="4:8" x14ac:dyDescent="0.25">
      <c r="D30" s="15"/>
    </row>
    <row r="31" spans="4:8" x14ac:dyDescent="0.25">
      <c r="D31" s="15"/>
    </row>
    <row r="32" spans="4:8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6"/>
  <sheetViews>
    <sheetView zoomScale="75" zoomScaleNormal="75" workbookViewId="0">
      <selection activeCell="W5" sqref="W5"/>
    </sheetView>
  </sheetViews>
  <sheetFormatPr defaultRowHeight="15" x14ac:dyDescent="0.25"/>
  <cols>
    <col min="1" max="1" width="15.85546875" customWidth="1"/>
    <col min="2" max="2" width="14.85546875" customWidth="1"/>
    <col min="3" max="6" width="20.85546875" customWidth="1"/>
    <col min="7" max="7" width="20.85546875" hidden="1" customWidth="1"/>
    <col min="8" max="8" width="20.85546875" customWidth="1"/>
    <col min="9" max="9" width="20.85546875" hidden="1" customWidth="1"/>
    <col min="10" max="10" width="20.85546875" customWidth="1"/>
    <col min="11" max="11" width="20.85546875" hidden="1" customWidth="1"/>
    <col min="12" max="12" width="20.85546875" customWidth="1"/>
    <col min="13" max="13" width="20.85546875" hidden="1" customWidth="1"/>
    <col min="14" max="14" width="20.85546875" customWidth="1"/>
    <col min="15" max="15" width="20.85546875" hidden="1" customWidth="1"/>
    <col min="16" max="16" width="20.85546875" customWidth="1"/>
    <col min="17" max="17" width="20.85546875" hidden="1" customWidth="1"/>
    <col min="18" max="18" width="20.85546875" customWidth="1"/>
    <col min="19" max="19" width="20.85546875" hidden="1" customWidth="1"/>
    <col min="20" max="20" width="20.85546875" customWidth="1"/>
    <col min="21" max="21" width="20.85546875" hidden="1" customWidth="1"/>
    <col min="22" max="22" width="20.85546875" customWidth="1"/>
    <col min="23" max="23" width="11.28515625" style="22" bestFit="1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x14ac:dyDescent="0.25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3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9" t="s">
        <v>9</v>
      </c>
      <c r="O3" s="9"/>
      <c r="P3" s="9" t="s">
        <v>10</v>
      </c>
      <c r="Q3" s="9"/>
      <c r="R3" s="9" t="s">
        <v>11</v>
      </c>
      <c r="S3" s="9"/>
      <c r="T3" s="9" t="s">
        <v>12</v>
      </c>
      <c r="U3" s="9"/>
      <c r="V3" s="9" t="s">
        <v>13</v>
      </c>
    </row>
    <row r="4" spans="1:23" ht="24.75" customHeight="1" x14ac:dyDescent="0.25">
      <c r="A4" s="26" t="s">
        <v>25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</row>
    <row r="5" spans="1:23" ht="23.25" customHeight="1" x14ac:dyDescent="0.25">
      <c r="A5" s="27"/>
      <c r="B5" s="17" t="s">
        <v>14</v>
      </c>
      <c r="C5" s="18">
        <f>19658915+1520748</f>
        <v>21179663</v>
      </c>
      <c r="D5" s="18">
        <f>16909304+1301649</f>
        <v>18210953</v>
      </c>
      <c r="E5" s="18">
        <f>19074829+1233048</f>
        <v>20307877</v>
      </c>
      <c r="F5" s="18">
        <f>16252276+1005486</f>
        <v>17257762</v>
      </c>
      <c r="G5" s="23">
        <v>1.0332883927452134</v>
      </c>
      <c r="H5" s="18">
        <f>15256033+793713</f>
        <v>16049746</v>
      </c>
      <c r="I5" s="18">
        <v>0.866239584650357</v>
      </c>
      <c r="J5" s="18">
        <f>15951275+699123</f>
        <v>16650398</v>
      </c>
      <c r="K5" s="18">
        <v>0.95038686638425462</v>
      </c>
      <c r="L5" s="18">
        <f>16221945+710488</f>
        <v>16932433</v>
      </c>
      <c r="M5" s="18">
        <v>1.0537596299579313</v>
      </c>
      <c r="N5" s="18">
        <f>16031378+704857</f>
        <v>16736235</v>
      </c>
      <c r="O5" s="18">
        <v>1.0597922567249043</v>
      </c>
      <c r="P5" s="18">
        <f>15617748+747139</f>
        <v>16364887</v>
      </c>
      <c r="Q5" s="18">
        <v>1.2347532129845176</v>
      </c>
      <c r="R5" s="18">
        <f>18348277+963490</f>
        <v>19311767</v>
      </c>
      <c r="S5" s="18">
        <v>0.98868012681227946</v>
      </c>
      <c r="T5" s="18">
        <f>19964074+1312534</f>
        <v>21276608</v>
      </c>
      <c r="U5" s="18">
        <v>1.0208789157297493</v>
      </c>
      <c r="V5" s="18">
        <f>22413365+1606124</f>
        <v>24019489</v>
      </c>
      <c r="W5" s="22">
        <f>'2021'!C5/'2020'!V5</f>
        <v>0.85358601925294919</v>
      </c>
    </row>
    <row r="6" spans="1:23" ht="23.25" customHeight="1" x14ac:dyDescent="0.25">
      <c r="A6" s="27"/>
      <c r="B6" s="17" t="s">
        <v>15</v>
      </c>
      <c r="C6" s="18">
        <v>1031678</v>
      </c>
      <c r="D6" s="18">
        <f>139518+973813</f>
        <v>1113331</v>
      </c>
      <c r="E6" s="18">
        <f>158068+808580</f>
        <v>966648</v>
      </c>
      <c r="F6" s="18">
        <f>151303+617046</f>
        <v>768349</v>
      </c>
      <c r="G6" s="23">
        <v>0.56391431970828965</v>
      </c>
      <c r="H6" s="18">
        <f>116795+419615</f>
        <v>536410</v>
      </c>
      <c r="I6" s="18">
        <v>1.2142675060656134</v>
      </c>
      <c r="J6" s="18">
        <f>109220+278080</f>
        <v>387300</v>
      </c>
      <c r="K6" s="18">
        <v>0.98650804212909771</v>
      </c>
      <c r="L6" s="18">
        <f>152316+325389</f>
        <v>477705</v>
      </c>
      <c r="M6" s="18">
        <v>0.97278574210771318</v>
      </c>
      <c r="N6" s="18">
        <f>128280+321932</f>
        <v>450212</v>
      </c>
      <c r="O6" s="18">
        <v>1.0831240160786904</v>
      </c>
      <c r="P6" s="18">
        <f>115576+334637</f>
        <v>450213</v>
      </c>
      <c r="Q6" s="18">
        <v>1.4465484906408916</v>
      </c>
      <c r="R6" s="18">
        <v>528243</v>
      </c>
      <c r="S6" s="18">
        <v>1.2822185848617935</v>
      </c>
      <c r="T6" s="18">
        <f>179103+802224</f>
        <v>981327</v>
      </c>
      <c r="U6" s="18">
        <v>1.1194285969845104</v>
      </c>
      <c r="V6" s="18">
        <f>213948+1011833</f>
        <v>1225781</v>
      </c>
      <c r="W6" s="22">
        <f>'2021'!C6/'2020'!V6</f>
        <v>0.9048810513460398</v>
      </c>
    </row>
    <row r="7" spans="1:23" ht="25.5" customHeight="1" x14ac:dyDescent="0.25">
      <c r="A7" s="27"/>
      <c r="B7" s="17" t="s">
        <v>16</v>
      </c>
      <c r="C7" s="18">
        <f>142527+375003</f>
        <v>517530</v>
      </c>
      <c r="D7" s="18">
        <v>316945</v>
      </c>
      <c r="E7" s="18">
        <v>289809</v>
      </c>
      <c r="F7" s="18">
        <v>239229</v>
      </c>
      <c r="G7" s="23">
        <v>0.64719076299434219</v>
      </c>
      <c r="H7" s="18">
        <v>122840</v>
      </c>
      <c r="I7" s="18">
        <v>0.85450726907064245</v>
      </c>
      <c r="J7" s="18">
        <v>93202</v>
      </c>
      <c r="K7" s="18">
        <v>1.0615142777739179</v>
      </c>
      <c r="L7" s="18">
        <v>99742</v>
      </c>
      <c r="M7" s="18">
        <v>1.0848994084776686</v>
      </c>
      <c r="N7" s="18">
        <v>101715</v>
      </c>
      <c r="O7" s="18">
        <v>0.89890953515731054</v>
      </c>
      <c r="P7" s="18">
        <v>109674</v>
      </c>
      <c r="Q7" s="18">
        <v>1.9351169053431656</v>
      </c>
      <c r="R7" s="18">
        <f>142272+167725</f>
        <v>309997</v>
      </c>
      <c r="S7" s="18">
        <v>1.4890099885547809</v>
      </c>
      <c r="T7" s="18">
        <v>316025</v>
      </c>
      <c r="U7" s="18">
        <v>0.98713099886158839</v>
      </c>
      <c r="V7" s="18">
        <f>316025+372117</f>
        <v>688142</v>
      </c>
      <c r="W7" s="22">
        <f>'2021'!C7/'2020'!V7</f>
        <v>0.17555824233951714</v>
      </c>
    </row>
    <row r="8" spans="1:23" ht="23.25" customHeight="1" x14ac:dyDescent="0.25">
      <c r="A8" s="27"/>
      <c r="B8" s="17" t="s">
        <v>17</v>
      </c>
      <c r="C8" s="18">
        <v>61532</v>
      </c>
      <c r="D8" s="18">
        <v>51780</v>
      </c>
      <c r="E8" s="18">
        <v>43157</v>
      </c>
      <c r="F8" s="18">
        <v>36179</v>
      </c>
      <c r="G8" s="23">
        <v>0.57750421083919545</v>
      </c>
      <c r="H8" s="18">
        <v>23970</v>
      </c>
      <c r="I8" s="18">
        <v>1.0997641003645722</v>
      </c>
      <c r="J8" s="18">
        <v>23544</v>
      </c>
      <c r="K8" s="18">
        <v>0.94095394095394091</v>
      </c>
      <c r="L8" s="18">
        <v>24575</v>
      </c>
      <c r="M8" s="18">
        <v>1.0157085422970116</v>
      </c>
      <c r="N8" s="18">
        <v>22505</v>
      </c>
      <c r="O8" s="18">
        <v>1.148004570309312</v>
      </c>
      <c r="P8" s="18">
        <v>22360</v>
      </c>
      <c r="Q8" s="18">
        <v>1.1966374009170724</v>
      </c>
      <c r="R8" s="18">
        <v>27347</v>
      </c>
      <c r="S8" s="18">
        <v>1.328976682013961</v>
      </c>
      <c r="T8" s="18">
        <v>38747</v>
      </c>
      <c r="U8" s="18">
        <v>1.1832588287885561</v>
      </c>
      <c r="V8" s="18">
        <f>38747+51167</f>
        <v>89914</v>
      </c>
      <c r="W8" s="22">
        <f>'2021'!C8/'2020'!V8</f>
        <v>4.6578508352425647</v>
      </c>
    </row>
    <row r="9" spans="1:23" ht="24.75" customHeight="1" x14ac:dyDescent="0.25">
      <c r="A9" s="27"/>
      <c r="B9" s="33" t="s">
        <v>20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</row>
    <row r="10" spans="1:23" ht="23.25" customHeight="1" x14ac:dyDescent="0.25">
      <c r="A10" s="27"/>
      <c r="B10" s="19"/>
      <c r="C10" s="18">
        <v>4852</v>
      </c>
      <c r="D10" s="18">
        <v>4972</v>
      </c>
      <c r="E10" s="18">
        <v>5438</v>
      </c>
      <c r="F10" s="18">
        <v>2528</v>
      </c>
      <c r="G10" s="23">
        <v>0.77071467940474003</v>
      </c>
      <c r="H10" s="18">
        <v>2370</v>
      </c>
      <c r="I10" s="18">
        <v>1.1516090584028607</v>
      </c>
      <c r="J10" s="18">
        <v>3298</v>
      </c>
      <c r="K10" s="18">
        <v>0.98861519354170979</v>
      </c>
      <c r="L10" s="18">
        <v>3475</v>
      </c>
      <c r="M10" s="18">
        <v>0.99853433835845895</v>
      </c>
      <c r="N10" s="18">
        <v>3138</v>
      </c>
      <c r="O10" s="18">
        <v>0.94023904382470125</v>
      </c>
      <c r="P10" s="18">
        <v>3024</v>
      </c>
      <c r="Q10" s="18">
        <v>1.2560214094558431</v>
      </c>
      <c r="R10" s="18">
        <v>3125</v>
      </c>
      <c r="S10" s="18">
        <v>0.92080965909090906</v>
      </c>
      <c r="T10" s="18">
        <v>3878</v>
      </c>
      <c r="U10" s="18">
        <v>1.2283069803316622</v>
      </c>
      <c r="V10" s="18">
        <v>3756</v>
      </c>
      <c r="W10" s="22">
        <f>'2021'!C10/'2020'!V10</f>
        <v>0</v>
      </c>
    </row>
    <row r="11" spans="1:23" ht="23.25" customHeight="1" x14ac:dyDescent="0.25">
      <c r="A11" s="31" t="s">
        <v>18</v>
      </c>
      <c r="B11" s="32"/>
      <c r="C11" s="10">
        <f t="shared" ref="C11:V11" si="0">SUM(C5:C8,C10)</f>
        <v>22795255</v>
      </c>
      <c r="D11" s="10">
        <f>SUM(D5:D8,D10)</f>
        <v>19697981</v>
      </c>
      <c r="E11" s="10">
        <f>SUM(E5:E8,E10)</f>
        <v>21612929</v>
      </c>
      <c r="F11" s="10">
        <f t="shared" si="0"/>
        <v>18304047</v>
      </c>
      <c r="G11" s="10"/>
      <c r="H11" s="10">
        <f>SUM(H5:H8,H10)</f>
        <v>16735336</v>
      </c>
      <c r="I11" s="10"/>
      <c r="J11" s="10">
        <f>SUM(J5:J8,J10)</f>
        <v>17157742</v>
      </c>
      <c r="K11" s="10"/>
      <c r="L11" s="10">
        <f t="shared" si="0"/>
        <v>17537930</v>
      </c>
      <c r="M11" s="10"/>
      <c r="N11" s="10">
        <f t="shared" si="0"/>
        <v>17313805</v>
      </c>
      <c r="O11" s="10"/>
      <c r="P11" s="10">
        <f t="shared" si="0"/>
        <v>16950158</v>
      </c>
      <c r="Q11" s="10"/>
      <c r="R11" s="10">
        <f>SUM(R5:R8,R10)</f>
        <v>20180479</v>
      </c>
      <c r="S11" s="10"/>
      <c r="T11" s="10">
        <f t="shared" si="0"/>
        <v>22616585</v>
      </c>
      <c r="U11" s="10"/>
      <c r="V11" s="10">
        <f t="shared" si="0"/>
        <v>26027082</v>
      </c>
    </row>
    <row r="14" spans="1:23" x14ac:dyDescent="0.25">
      <c r="F14" s="20"/>
      <c r="G14" s="20"/>
    </row>
    <row r="21" spans="4:11" x14ac:dyDescent="0.25">
      <c r="D21" s="15"/>
      <c r="F21" s="16"/>
      <c r="G21" s="16"/>
      <c r="J21" s="16"/>
      <c r="K21" s="16"/>
    </row>
    <row r="22" spans="4:11" x14ac:dyDescent="0.25">
      <c r="D22" s="15"/>
      <c r="F22" s="16"/>
      <c r="G22" s="16"/>
      <c r="J22" s="16"/>
      <c r="K22" s="16"/>
    </row>
    <row r="23" spans="4:11" x14ac:dyDescent="0.25">
      <c r="D23" s="15"/>
      <c r="F23" s="16"/>
      <c r="G23" s="16"/>
      <c r="J23" s="16"/>
      <c r="K23" s="16"/>
    </row>
    <row r="24" spans="4:11" x14ac:dyDescent="0.25">
      <c r="D24" s="15"/>
      <c r="F24" s="16"/>
      <c r="G24" s="16"/>
      <c r="J24" s="16"/>
      <c r="K24" s="16"/>
    </row>
    <row r="25" spans="4:11" x14ac:dyDescent="0.25">
      <c r="D25" s="15"/>
      <c r="F25" s="16"/>
      <c r="G25" s="16"/>
      <c r="J25" s="16"/>
      <c r="K25" s="16"/>
    </row>
    <row r="26" spans="4:11" x14ac:dyDescent="0.25">
      <c r="D26" s="15"/>
    </row>
    <row r="27" spans="4:11" x14ac:dyDescent="0.25">
      <c r="D27" s="15"/>
    </row>
    <row r="28" spans="4:11" x14ac:dyDescent="0.25">
      <c r="D28" s="15"/>
    </row>
    <row r="29" spans="4:11" x14ac:dyDescent="0.25">
      <c r="D29" s="15"/>
    </row>
    <row r="30" spans="4:11" x14ac:dyDescent="0.25">
      <c r="D30" s="15"/>
    </row>
    <row r="31" spans="4:11" x14ac:dyDescent="0.25">
      <c r="D31" s="15"/>
    </row>
    <row r="32" spans="4:11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</sheetData>
  <mergeCells count="5">
    <mergeCell ref="A2:V2"/>
    <mergeCell ref="A4:A10"/>
    <mergeCell ref="B4:V4"/>
    <mergeCell ref="B9:V9"/>
    <mergeCell ref="A11:B11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7"/>
  <sheetViews>
    <sheetView zoomScale="70" zoomScaleNormal="70" workbookViewId="0">
      <selection activeCell="AH11" sqref="AH11"/>
    </sheetView>
  </sheetViews>
  <sheetFormatPr defaultRowHeight="15" x14ac:dyDescent="0.25"/>
  <cols>
    <col min="1" max="1" width="15.85546875" customWidth="1"/>
    <col min="2" max="2" width="14.85546875" customWidth="1"/>
    <col min="3" max="3" width="20.85546875" customWidth="1"/>
    <col min="4" max="4" width="20.85546875" hidden="1" customWidth="1"/>
    <col min="5" max="5" width="20.85546875" customWidth="1"/>
    <col min="6" max="6" width="20.85546875" hidden="1" customWidth="1"/>
    <col min="7" max="7" width="20.85546875" customWidth="1"/>
    <col min="8" max="8" width="20.85546875" hidden="1" customWidth="1"/>
    <col min="9" max="9" width="20.85546875" customWidth="1"/>
    <col min="10" max="11" width="20.85546875" hidden="1" customWidth="1"/>
    <col min="12" max="12" width="20.85546875" customWidth="1"/>
    <col min="13" max="14" width="20.85546875" hidden="1" customWidth="1"/>
    <col min="15" max="15" width="20.85546875" customWidth="1"/>
    <col min="16" max="17" width="20.85546875" hidden="1" customWidth="1"/>
    <col min="18" max="18" width="20.85546875" customWidth="1"/>
    <col min="19" max="20" width="20.85546875" hidden="1" customWidth="1"/>
    <col min="21" max="21" width="20.85546875" customWidth="1"/>
    <col min="22" max="23" width="20.85546875" hidden="1" customWidth="1"/>
    <col min="24" max="24" width="20.85546875" customWidth="1"/>
    <col min="25" max="26" width="20.85546875" hidden="1" customWidth="1"/>
    <col min="27" max="27" width="20.85546875" customWidth="1"/>
    <col min="28" max="29" width="20.85546875" hidden="1" customWidth="1"/>
    <col min="30" max="30" width="20.85546875" customWidth="1"/>
    <col min="31" max="32" width="20.85546875" hidden="1" customWidth="1"/>
    <col min="33" max="33" width="20.85546875" customWidth="1"/>
    <col min="34" max="34" width="9.140625" style="22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A2" s="25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4" ht="28.5" x14ac:dyDescent="0.25">
      <c r="A3" s="7" t="s">
        <v>0</v>
      </c>
      <c r="B3" s="8" t="s">
        <v>1</v>
      </c>
      <c r="C3" s="9" t="s">
        <v>2</v>
      </c>
      <c r="D3" s="9"/>
      <c r="E3" s="9" t="s">
        <v>3</v>
      </c>
      <c r="F3" s="9"/>
      <c r="G3" s="9" t="s">
        <v>4</v>
      </c>
      <c r="H3" s="9"/>
      <c r="I3" s="9" t="s">
        <v>5</v>
      </c>
      <c r="J3" s="9"/>
      <c r="K3" s="9"/>
      <c r="L3" s="9" t="s">
        <v>6</v>
      </c>
      <c r="M3" s="9"/>
      <c r="N3" s="9"/>
      <c r="O3" s="9" t="s">
        <v>7</v>
      </c>
      <c r="P3" s="9"/>
      <c r="Q3" s="9"/>
      <c r="R3" s="9" t="s">
        <v>8</v>
      </c>
      <c r="S3" s="9"/>
      <c r="T3" s="9"/>
      <c r="U3" s="9" t="s">
        <v>9</v>
      </c>
      <c r="V3" s="9"/>
      <c r="W3" s="9"/>
      <c r="X3" s="9" t="s">
        <v>10</v>
      </c>
      <c r="Y3" s="9"/>
      <c r="Z3" s="9"/>
      <c r="AA3" s="9" t="s">
        <v>11</v>
      </c>
      <c r="AB3" s="9"/>
      <c r="AC3" s="9"/>
      <c r="AD3" s="9" t="s">
        <v>12</v>
      </c>
      <c r="AE3" s="9"/>
      <c r="AF3" s="9"/>
      <c r="AG3" s="9" t="s">
        <v>13</v>
      </c>
    </row>
    <row r="4" spans="1:34" ht="24.75" customHeight="1" x14ac:dyDescent="0.25">
      <c r="A4" s="26" t="s">
        <v>33</v>
      </c>
      <c r="B4" s="28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30"/>
    </row>
    <row r="5" spans="1:34" ht="23.25" customHeight="1" x14ac:dyDescent="0.25">
      <c r="A5" s="27"/>
      <c r="B5" s="17" t="s">
        <v>14</v>
      </c>
      <c r="C5" s="18">
        <f>18906107+1596593</f>
        <v>20502700</v>
      </c>
      <c r="D5" s="18">
        <v>0.85983204737488028</v>
      </c>
      <c r="E5" s="18">
        <f>17235758+1481085</f>
        <v>18716843</v>
      </c>
      <c r="F5" s="18">
        <v>1.1151463078291399</v>
      </c>
      <c r="G5" s="18">
        <f>19041883+1426700</f>
        <v>20468583</v>
      </c>
      <c r="H5" s="18">
        <v>0.84980630914792321</v>
      </c>
      <c r="I5" s="18">
        <f>16558049+991251</f>
        <v>17549300</v>
      </c>
      <c r="J5" s="23"/>
      <c r="K5" s="23">
        <v>0.93000158421468559</v>
      </c>
      <c r="L5" s="18">
        <f>16385431+759807</f>
        <v>17145238</v>
      </c>
      <c r="M5" s="18"/>
      <c r="N5" s="18">
        <v>1.0374243928844731</v>
      </c>
      <c r="O5" s="18">
        <f>14601269+702834</f>
        <v>15304103</v>
      </c>
      <c r="P5" s="18"/>
      <c r="Q5" s="18">
        <v>1.0169386341395563</v>
      </c>
      <c r="R5" s="18">
        <f>14422690+748500</f>
        <v>15171190</v>
      </c>
      <c r="S5" s="18"/>
      <c r="T5" s="18">
        <v>0.98841288785846659</v>
      </c>
      <c r="U5" s="18">
        <f>14723106+649417</f>
        <v>15372523</v>
      </c>
      <c r="V5" s="18"/>
      <c r="W5" s="18">
        <v>0.97781173603262617</v>
      </c>
      <c r="X5" s="18">
        <f>16347555+724962</f>
        <v>17072517</v>
      </c>
      <c r="Y5" s="18"/>
      <c r="Z5" s="18">
        <v>1.1800733485052479</v>
      </c>
      <c r="AA5" s="18">
        <f>18900924+953790</f>
        <v>19854714</v>
      </c>
      <c r="AB5" s="18"/>
      <c r="AC5" s="18">
        <v>1.1017432014377555</v>
      </c>
      <c r="AD5" s="18">
        <f>18038001+1064686</f>
        <v>19102687</v>
      </c>
      <c r="AE5" s="18"/>
      <c r="AF5" s="18">
        <v>1.1289153327447683</v>
      </c>
      <c r="AG5" s="18">
        <f>19660925+1360855</f>
        <v>21021780</v>
      </c>
      <c r="AH5" s="22">
        <f>'2022'!D5/'2021'!AG5</f>
        <v>0.92976712723660893</v>
      </c>
    </row>
    <row r="6" spans="1:34" ht="23.25" customHeight="1" x14ac:dyDescent="0.25">
      <c r="A6" s="27"/>
      <c r="B6" s="17" t="s">
        <v>15</v>
      </c>
      <c r="C6" s="18">
        <f>237963+871223</f>
        <v>1109186</v>
      </c>
      <c r="D6" s="18">
        <v>1.0791458187535259</v>
      </c>
      <c r="E6" s="18">
        <f>237042+830207</f>
        <v>1067249</v>
      </c>
      <c r="F6" s="18">
        <v>0.86824852626936644</v>
      </c>
      <c r="G6" s="18">
        <f>217237+813439</f>
        <v>1030676</v>
      </c>
      <c r="H6" s="18">
        <v>0.79485914210757169</v>
      </c>
      <c r="I6" s="18">
        <f>253947+564939</f>
        <v>818886</v>
      </c>
      <c r="J6" s="23"/>
      <c r="K6" s="23">
        <v>0.69813327016759308</v>
      </c>
      <c r="L6" s="18">
        <f>251530+350429</f>
        <v>601959</v>
      </c>
      <c r="M6" s="18"/>
      <c r="N6" s="18">
        <v>0.72202233366268342</v>
      </c>
      <c r="O6" s="18">
        <f>343648+338565</f>
        <v>682213</v>
      </c>
      <c r="P6" s="18"/>
      <c r="Q6" s="18">
        <v>1.2334237025561581</v>
      </c>
      <c r="R6" s="18">
        <f>151035+349905</f>
        <v>500940</v>
      </c>
      <c r="S6" s="18"/>
      <c r="T6" s="18">
        <v>0.94244774494719541</v>
      </c>
      <c r="U6" s="18">
        <f>133208+327701</f>
        <v>460909</v>
      </c>
      <c r="V6" s="18"/>
      <c r="W6" s="18">
        <v>1.0000022211758017</v>
      </c>
      <c r="X6" s="18">
        <f>114517+390940</f>
        <v>505457</v>
      </c>
      <c r="Y6" s="18"/>
      <c r="Z6" s="18">
        <v>1.1733179628309267</v>
      </c>
      <c r="AA6" s="18">
        <f>148390+567399</f>
        <v>715789</v>
      </c>
      <c r="AB6" s="18"/>
      <c r="AC6" s="18">
        <v>1.8577188907377855</v>
      </c>
      <c r="AD6" s="18">
        <f>162090+700098</f>
        <v>862188</v>
      </c>
      <c r="AE6" s="18"/>
      <c r="AF6" s="18">
        <v>1.2491055478958595</v>
      </c>
      <c r="AG6" s="18">
        <f>190228+869264</f>
        <v>1059492</v>
      </c>
      <c r="AH6" s="22">
        <f>'2022'!D6/'2021'!AG6</f>
        <v>1.1176158007799966</v>
      </c>
    </row>
    <row r="7" spans="1:34" ht="23.25" customHeight="1" x14ac:dyDescent="0.25">
      <c r="A7" s="27"/>
      <c r="B7" s="17" t="s">
        <v>32</v>
      </c>
      <c r="C7" s="18">
        <v>120809</v>
      </c>
      <c r="D7" s="18"/>
      <c r="E7" s="18">
        <v>133345</v>
      </c>
      <c r="F7" s="18">
        <f>E7/C7</f>
        <v>1.1037671034442798</v>
      </c>
      <c r="G7" s="18">
        <v>112374</v>
      </c>
      <c r="H7" s="18">
        <f>G7/E7</f>
        <v>0.84273126101466123</v>
      </c>
      <c r="I7" s="18">
        <v>47147</v>
      </c>
      <c r="J7" s="23"/>
      <c r="K7" s="23">
        <v>0.51348289714039685</v>
      </c>
      <c r="L7" s="18">
        <v>17820</v>
      </c>
      <c r="M7" s="18"/>
      <c r="N7" s="18">
        <f>L7/I7</f>
        <v>0.37796678473709888</v>
      </c>
      <c r="O7" s="18">
        <v>6929</v>
      </c>
      <c r="P7" s="18"/>
      <c r="Q7" s="18">
        <f>O7/L7</f>
        <v>0.38883277216610551</v>
      </c>
      <c r="R7" s="18">
        <v>10429</v>
      </c>
      <c r="S7" s="18"/>
      <c r="T7" s="18">
        <f>O7/R7</f>
        <v>0.66439735353341645</v>
      </c>
      <c r="U7" s="18">
        <v>10586</v>
      </c>
      <c r="V7" s="18"/>
      <c r="W7" s="18">
        <f>U7/R7</f>
        <v>1.0150541758557867</v>
      </c>
      <c r="X7" s="18">
        <v>25719</v>
      </c>
      <c r="Y7" s="18"/>
      <c r="Z7" s="18">
        <f>X7/U7</f>
        <v>2.4295295673531081</v>
      </c>
      <c r="AA7" s="18">
        <v>53031</v>
      </c>
      <c r="AB7" s="18"/>
      <c r="AC7" s="18">
        <f>AA7/X7</f>
        <v>2.0619386445818266</v>
      </c>
      <c r="AD7" s="18">
        <v>67850</v>
      </c>
      <c r="AE7" s="18"/>
      <c r="AF7" s="18">
        <f>AD7/AA7</f>
        <v>1.2794403273556976</v>
      </c>
      <c r="AG7" s="18">
        <v>138516</v>
      </c>
      <c r="AH7" s="22">
        <f>'2022'!D7/'2021'!AG7</f>
        <v>1.2692035577117444</v>
      </c>
    </row>
    <row r="8" spans="1:34" ht="25.5" customHeight="1" x14ac:dyDescent="0.25">
      <c r="A8" s="27"/>
      <c r="B8" s="17" t="s">
        <v>16</v>
      </c>
      <c r="C8" s="18">
        <v>418806</v>
      </c>
      <c r="D8" s="18">
        <v>0.61241860375243951</v>
      </c>
      <c r="E8" s="18">
        <v>376651</v>
      </c>
      <c r="F8" s="18">
        <v>0.91438262159049677</v>
      </c>
      <c r="G8" s="18">
        <v>247040</v>
      </c>
      <c r="H8" s="18">
        <v>0.82547125865656346</v>
      </c>
      <c r="I8" s="18">
        <v>232550</v>
      </c>
      <c r="J8" s="23"/>
      <c r="K8" s="23">
        <v>0.66253904198568225</v>
      </c>
      <c r="L8" s="18">
        <v>116220</v>
      </c>
      <c r="M8" s="18"/>
      <c r="N8" s="18">
        <v>0.75872679908824492</v>
      </c>
      <c r="O8" s="18">
        <v>107563</v>
      </c>
      <c r="P8" s="18"/>
      <c r="Q8" s="18">
        <v>1.0701701680221454</v>
      </c>
      <c r="R8" s="18">
        <v>127644</v>
      </c>
      <c r="S8" s="18"/>
      <c r="T8" s="18">
        <v>1.0197810350704819</v>
      </c>
      <c r="U8" s="18">
        <v>218613</v>
      </c>
      <c r="V8" s="18"/>
      <c r="W8" s="18">
        <v>1.078248046010913</v>
      </c>
      <c r="X8" s="18">
        <v>169258</v>
      </c>
      <c r="Y8" s="18"/>
      <c r="Z8" s="18">
        <v>2.8265313565658223</v>
      </c>
      <c r="AA8" s="18">
        <v>378784</v>
      </c>
      <c r="AB8" s="18"/>
      <c r="AC8" s="18">
        <v>1.019445349471124</v>
      </c>
      <c r="AD8" s="18">
        <v>450252</v>
      </c>
      <c r="AE8" s="18"/>
      <c r="AF8" s="18">
        <v>2.1774922870026105</v>
      </c>
      <c r="AG8" s="18">
        <v>583913</v>
      </c>
      <c r="AH8" s="22">
        <f>'2022'!D8/'2021'!AG8</f>
        <v>1.0694521272860855</v>
      </c>
    </row>
    <row r="9" spans="1:34" ht="23.25" customHeight="1" x14ac:dyDescent="0.25">
      <c r="A9" s="27"/>
      <c r="B9" s="17" t="s">
        <v>17</v>
      </c>
      <c r="C9" s="18">
        <v>58151</v>
      </c>
      <c r="D9" s="18">
        <v>0.84151335890268475</v>
      </c>
      <c r="E9" s="18">
        <v>50220</v>
      </c>
      <c r="F9" s="18">
        <v>0.83346852066434918</v>
      </c>
      <c r="G9" s="18">
        <v>48844</v>
      </c>
      <c r="H9" s="18">
        <v>0.83831128206316474</v>
      </c>
      <c r="I9" s="18">
        <v>36060</v>
      </c>
      <c r="J9" s="23"/>
      <c r="K9" s="23">
        <f>I9/G9</f>
        <v>0.73826877405617886</v>
      </c>
      <c r="L9" s="18">
        <v>23389</v>
      </c>
      <c r="M9" s="18"/>
      <c r="N9" s="18">
        <v>0.98222778473091366</v>
      </c>
      <c r="O9" s="18">
        <v>22332</v>
      </c>
      <c r="P9" s="18"/>
      <c r="Q9" s="18">
        <v>1.0437903499830106</v>
      </c>
      <c r="R9" s="18">
        <v>29529</v>
      </c>
      <c r="S9" s="18"/>
      <c r="T9" s="18">
        <v>0.91576805696846386</v>
      </c>
      <c r="U9" s="18">
        <v>28095</v>
      </c>
      <c r="V9" s="18"/>
      <c r="W9" s="18">
        <v>0.9935569873361475</v>
      </c>
      <c r="X9" s="18">
        <v>26832</v>
      </c>
      <c r="Y9" s="18"/>
      <c r="Z9" s="18">
        <v>1.2230322003577818</v>
      </c>
      <c r="AA9" s="18">
        <v>35794</v>
      </c>
      <c r="AB9" s="18"/>
      <c r="AC9" s="18">
        <v>1.4168647383625261</v>
      </c>
      <c r="AD9" s="18">
        <v>40581</v>
      </c>
      <c r="AE9" s="18"/>
      <c r="AF9" s="18">
        <v>2.3205409451054275</v>
      </c>
      <c r="AG9" s="18">
        <v>44826</v>
      </c>
      <c r="AH9" s="22">
        <f>'2022'!D9/'2021'!AG9</f>
        <v>1.195266140186499</v>
      </c>
    </row>
    <row r="10" spans="1:34" ht="24.75" customHeight="1" x14ac:dyDescent="0.25">
      <c r="A10" s="27"/>
      <c r="B10" s="33" t="s">
        <v>20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</row>
    <row r="11" spans="1:34" ht="23.25" customHeight="1" x14ac:dyDescent="0.25">
      <c r="A11" s="27"/>
      <c r="B11" s="19"/>
      <c r="C11" s="18">
        <v>4329</v>
      </c>
      <c r="D11" s="18">
        <v>1.0247320692497939</v>
      </c>
      <c r="E11" s="18">
        <v>2913</v>
      </c>
      <c r="F11" s="18">
        <v>1.0937248592115849</v>
      </c>
      <c r="G11" s="18">
        <v>3306</v>
      </c>
      <c r="H11" s="18">
        <v>0.46487679293858036</v>
      </c>
      <c r="I11" s="18">
        <v>4221</v>
      </c>
      <c r="J11" s="23"/>
      <c r="K11" s="23">
        <v>0.9375</v>
      </c>
      <c r="L11" s="18">
        <v>2886</v>
      </c>
      <c r="M11" s="18"/>
      <c r="N11" s="18">
        <v>1.3915611814345992</v>
      </c>
      <c r="O11" s="18">
        <v>4261</v>
      </c>
      <c r="P11" s="18"/>
      <c r="Q11" s="18">
        <v>1.053668890236507</v>
      </c>
      <c r="R11" s="18">
        <v>5214</v>
      </c>
      <c r="S11" s="18"/>
      <c r="T11" s="18">
        <v>0.90302158273381294</v>
      </c>
      <c r="U11" s="18">
        <v>3144</v>
      </c>
      <c r="V11" s="18"/>
      <c r="W11" s="18">
        <v>0.96367112810707456</v>
      </c>
      <c r="X11" s="18">
        <v>2750</v>
      </c>
      <c r="Y11" s="18"/>
      <c r="Z11" s="18">
        <v>1.0333994708994709</v>
      </c>
      <c r="AA11" s="18">
        <v>3525</v>
      </c>
      <c r="AB11" s="18"/>
      <c r="AC11" s="18">
        <v>1.2409600000000001</v>
      </c>
      <c r="AD11" s="18">
        <v>3510</v>
      </c>
      <c r="AE11" s="18"/>
      <c r="AF11" s="18">
        <v>2.3205409451054275</v>
      </c>
      <c r="AG11" s="18">
        <v>3272</v>
      </c>
      <c r="AH11" s="22">
        <f>'2022'!D11/'2021'!AG11</f>
        <v>0.76650366748166254</v>
      </c>
    </row>
    <row r="12" spans="1:34" ht="23.25" customHeight="1" x14ac:dyDescent="0.25">
      <c r="A12" s="31" t="s">
        <v>18</v>
      </c>
      <c r="B12" s="32"/>
      <c r="C12" s="10">
        <f t="shared" ref="C12:AG12" si="0">SUM(C5:C9,C11)</f>
        <v>22213981</v>
      </c>
      <c r="D12" s="10"/>
      <c r="E12" s="10">
        <f>SUM(E5:E9,E11)</f>
        <v>20347221</v>
      </c>
      <c r="F12" s="10"/>
      <c r="G12" s="10">
        <f>SUM(G5:G9,G11)</f>
        <v>21910823</v>
      </c>
      <c r="H12" s="10"/>
      <c r="I12" s="10">
        <f t="shared" si="0"/>
        <v>18688164</v>
      </c>
      <c r="J12" s="10"/>
      <c r="K12" s="10"/>
      <c r="L12" s="10">
        <f>SUM(L5:L9,L11)</f>
        <v>17907512</v>
      </c>
      <c r="M12" s="10"/>
      <c r="N12" s="10"/>
      <c r="O12" s="10">
        <f>SUM(O5:O9,O11)</f>
        <v>16127401</v>
      </c>
      <c r="P12" s="10"/>
      <c r="Q12" s="10"/>
      <c r="R12" s="10">
        <f t="shared" si="0"/>
        <v>15844946</v>
      </c>
      <c r="S12" s="10"/>
      <c r="T12" s="10"/>
      <c r="U12" s="10">
        <f t="shared" si="0"/>
        <v>16093870</v>
      </c>
      <c r="V12" s="10"/>
      <c r="W12" s="10"/>
      <c r="X12" s="10">
        <f t="shared" si="0"/>
        <v>17802533</v>
      </c>
      <c r="Y12" s="10"/>
      <c r="Z12" s="10"/>
      <c r="AA12" s="10">
        <f>SUM(AA5:AA9,AA11)</f>
        <v>21041637</v>
      </c>
      <c r="AB12" s="10"/>
      <c r="AC12" s="10"/>
      <c r="AD12" s="10">
        <f t="shared" si="0"/>
        <v>20527068</v>
      </c>
      <c r="AE12" s="10"/>
      <c r="AF12" s="10"/>
      <c r="AG12" s="10">
        <f t="shared" si="0"/>
        <v>22851799</v>
      </c>
    </row>
    <row r="15" spans="1:34" x14ac:dyDescent="0.25">
      <c r="I15" s="20"/>
      <c r="J15" s="20"/>
      <c r="K15" s="20"/>
    </row>
    <row r="22" spans="5:17" x14ac:dyDescent="0.25">
      <c r="E22" s="15"/>
      <c r="F22" s="15"/>
      <c r="I22" s="16"/>
      <c r="J22" s="16"/>
      <c r="K22" s="16"/>
      <c r="O22" s="16"/>
      <c r="P22" s="16"/>
      <c r="Q22" s="16"/>
    </row>
    <row r="23" spans="5:17" x14ac:dyDescent="0.25">
      <c r="E23" s="15"/>
      <c r="F23" s="15"/>
      <c r="I23" s="16"/>
      <c r="J23" s="16"/>
      <c r="K23" s="16"/>
      <c r="O23" s="16"/>
      <c r="P23" s="16"/>
      <c r="Q23" s="16"/>
    </row>
    <row r="24" spans="5:17" x14ac:dyDescent="0.25">
      <c r="E24" s="15"/>
      <c r="F24" s="15"/>
      <c r="I24" s="16"/>
      <c r="J24" s="16"/>
      <c r="K24" s="16"/>
      <c r="O24" s="16"/>
      <c r="P24" s="16"/>
      <c r="Q24" s="16"/>
    </row>
    <row r="25" spans="5:17" x14ac:dyDescent="0.25">
      <c r="E25" s="15"/>
      <c r="F25" s="15"/>
      <c r="I25" s="16"/>
      <c r="J25" s="16"/>
      <c r="K25" s="16"/>
      <c r="O25" s="16"/>
      <c r="P25" s="16"/>
      <c r="Q25" s="16"/>
    </row>
    <row r="26" spans="5:17" x14ac:dyDescent="0.25">
      <c r="E26" s="15"/>
      <c r="F26" s="15"/>
      <c r="I26" s="16"/>
      <c r="J26" s="16"/>
      <c r="K26" s="16"/>
      <c r="O26" s="16"/>
      <c r="P26" s="16"/>
      <c r="Q26" s="16"/>
    </row>
    <row r="27" spans="5:17" x14ac:dyDescent="0.25">
      <c r="E27" s="15"/>
      <c r="F27" s="15"/>
    </row>
    <row r="28" spans="5:17" x14ac:dyDescent="0.25">
      <c r="E28" s="15"/>
      <c r="F28" s="15"/>
    </row>
    <row r="29" spans="5:17" x14ac:dyDescent="0.25">
      <c r="E29" s="15"/>
      <c r="F29" s="15"/>
    </row>
    <row r="30" spans="5:17" x14ac:dyDescent="0.25">
      <c r="E30" s="15"/>
      <c r="F30" s="15"/>
    </row>
    <row r="31" spans="5:17" x14ac:dyDescent="0.25">
      <c r="E31" s="15"/>
      <c r="F31" s="15"/>
    </row>
    <row r="32" spans="5:17" x14ac:dyDescent="0.25">
      <c r="E32" s="15"/>
      <c r="F32" s="15"/>
    </row>
    <row r="33" spans="5:6" x14ac:dyDescent="0.25">
      <c r="E33" s="15"/>
      <c r="F33" s="15"/>
    </row>
    <row r="34" spans="5:6" x14ac:dyDescent="0.25">
      <c r="E34" s="15"/>
      <c r="F34" s="15"/>
    </row>
    <row r="35" spans="5:6" x14ac:dyDescent="0.25">
      <c r="E35" s="15"/>
      <c r="F35" s="15"/>
    </row>
    <row r="36" spans="5:6" x14ac:dyDescent="0.25">
      <c r="E36" s="15"/>
      <c r="F36" s="15"/>
    </row>
    <row r="37" spans="5:6" x14ac:dyDescent="0.25">
      <c r="E37" s="15"/>
      <c r="F37" s="15"/>
    </row>
    <row r="38" spans="5:6" x14ac:dyDescent="0.25">
      <c r="E38" s="15"/>
      <c r="F38" s="15"/>
    </row>
    <row r="39" spans="5:6" x14ac:dyDescent="0.25">
      <c r="E39" s="15"/>
      <c r="F39" s="15"/>
    </row>
    <row r="40" spans="5:6" x14ac:dyDescent="0.25">
      <c r="E40" s="15"/>
      <c r="F40" s="15"/>
    </row>
    <row r="41" spans="5:6" x14ac:dyDescent="0.25">
      <c r="E41" s="15"/>
      <c r="F41" s="15"/>
    </row>
    <row r="42" spans="5:6" x14ac:dyDescent="0.25">
      <c r="E42" s="15"/>
      <c r="F42" s="15"/>
    </row>
    <row r="43" spans="5:6" x14ac:dyDescent="0.25">
      <c r="E43" s="15"/>
      <c r="F43" s="15"/>
    </row>
    <row r="44" spans="5:6" x14ac:dyDescent="0.25">
      <c r="E44" s="15"/>
      <c r="F44" s="15"/>
    </row>
    <row r="45" spans="5:6" x14ac:dyDescent="0.25">
      <c r="E45" s="15"/>
      <c r="F45" s="15"/>
    </row>
    <row r="46" spans="5:6" x14ac:dyDescent="0.25">
      <c r="E46" s="15"/>
      <c r="F46" s="15"/>
    </row>
    <row r="47" spans="5:6" x14ac:dyDescent="0.25">
      <c r="E47" s="15"/>
      <c r="F47" s="15"/>
    </row>
  </sheetData>
  <mergeCells count="5">
    <mergeCell ref="A2:AG2"/>
    <mergeCell ref="A4:A11"/>
    <mergeCell ref="B4:AG4"/>
    <mergeCell ref="B10:AG10"/>
    <mergeCell ref="A12:B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Прошутинский Николай Александрович</cp:lastModifiedBy>
  <dcterms:created xsi:type="dcterms:W3CDTF">2013-11-13T16:10:49Z</dcterms:created>
  <dcterms:modified xsi:type="dcterms:W3CDTF">2025-01-17T08:35:50Z</dcterms:modified>
</cp:coreProperties>
</file>