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455" yWindow="1830" windowWidth="22320" windowHeight="6390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calcPr calcId="162913"/>
</workbook>
</file>

<file path=xl/calcChain.xml><?xml version="1.0" encoding="utf-8"?>
<calcChain xmlns="http://schemas.openxmlformats.org/spreadsheetml/2006/main">
  <c r="N5" i="16" l="1"/>
  <c r="M5" i="16" l="1"/>
  <c r="L5" i="16" l="1"/>
  <c r="K5" i="16" l="1"/>
  <c r="J5" i="16" l="1"/>
  <c r="I5" i="16" l="1"/>
  <c r="H5" i="16" l="1"/>
  <c r="G5" i="16" l="1"/>
  <c r="F5" i="16" l="1"/>
  <c r="E5" i="16" l="1"/>
  <c r="D5" i="16" l="1"/>
  <c r="C5" i="16" l="1"/>
  <c r="N13" i="16" l="1"/>
  <c r="M13" i="16"/>
  <c r="K13" i="16"/>
  <c r="J13" i="16"/>
  <c r="I13" i="16"/>
  <c r="G13" i="16"/>
  <c r="F13" i="16"/>
  <c r="E13" i="16"/>
  <c r="D13" i="16"/>
  <c r="C13" i="16"/>
  <c r="O12" i="16"/>
  <c r="O11" i="16"/>
  <c r="O7" i="16"/>
  <c r="O6" i="16"/>
  <c r="O5" i="16"/>
  <c r="L13" i="16"/>
  <c r="H13" i="16"/>
  <c r="L5" i="15" l="1"/>
  <c r="K5" i="15" l="1"/>
  <c r="J5" i="15" l="1"/>
  <c r="I5" i="15" l="1"/>
  <c r="H5" i="15" l="1"/>
  <c r="O12" i="15" l="1"/>
  <c r="O11" i="15"/>
  <c r="O7" i="15" l="1"/>
  <c r="O6" i="15"/>
  <c r="O5" i="15"/>
  <c r="C13" i="15" l="1"/>
  <c r="AH12" i="13" l="1"/>
  <c r="AH11" i="13"/>
  <c r="AH7" i="13"/>
  <c r="AH6" i="13"/>
  <c r="AH5" i="13"/>
  <c r="M13" i="15"/>
  <c r="L13" i="15"/>
  <c r="K13" i="15"/>
  <c r="J13" i="15"/>
  <c r="I13" i="15"/>
  <c r="H13" i="15"/>
  <c r="G13" i="15"/>
  <c r="F13" i="15"/>
  <c r="E13" i="15"/>
  <c r="D13" i="15"/>
  <c r="N13" i="15"/>
  <c r="AP11" i="14" l="1"/>
  <c r="AQ11" i="14"/>
  <c r="AR11" i="14"/>
  <c r="AP12" i="14"/>
  <c r="AQ12" i="14"/>
  <c r="AR12" i="14"/>
  <c r="AP5" i="14"/>
  <c r="AQ5" i="14"/>
  <c r="AR5" i="14"/>
  <c r="AP6" i="14"/>
  <c r="AQ6" i="14"/>
  <c r="AR6" i="14"/>
  <c r="AP7" i="14"/>
  <c r="AQ7" i="14"/>
  <c r="AR7" i="14"/>
  <c r="AL11" i="14" l="1"/>
  <c r="AM11" i="14"/>
  <c r="AN11" i="14"/>
  <c r="AL12" i="14"/>
  <c r="AM12" i="14"/>
  <c r="AN12" i="14"/>
  <c r="AL5" i="14"/>
  <c r="AM5" i="14"/>
  <c r="AN5" i="14"/>
  <c r="AL6" i="14"/>
  <c r="AM6" i="14"/>
  <c r="AN6" i="14"/>
  <c r="AL7" i="14"/>
  <c r="AM7" i="14"/>
  <c r="AN7" i="14"/>
  <c r="AH11" i="14" l="1"/>
  <c r="AI11" i="14"/>
  <c r="AJ11" i="14"/>
  <c r="AH12" i="14"/>
  <c r="AI12" i="14"/>
  <c r="AJ12" i="14"/>
  <c r="AH5" i="14"/>
  <c r="AI5" i="14"/>
  <c r="AJ5" i="14"/>
  <c r="AH6" i="14"/>
  <c r="AI6" i="14"/>
  <c r="AJ6" i="14"/>
  <c r="AH7" i="14"/>
  <c r="AI7" i="14"/>
  <c r="AJ7" i="14"/>
  <c r="AK13" i="14" l="1"/>
  <c r="AD11" i="14" l="1"/>
  <c r="AE11" i="14"/>
  <c r="AF11" i="14"/>
  <c r="AD12" i="14"/>
  <c r="AE12" i="14"/>
  <c r="AF12" i="14"/>
  <c r="AD5" i="14"/>
  <c r="AE5" i="14"/>
  <c r="AF5" i="14"/>
  <c r="AD6" i="14"/>
  <c r="AE6" i="14"/>
  <c r="AF6" i="14"/>
  <c r="AD7" i="14"/>
  <c r="AE7" i="14"/>
  <c r="AF7" i="14"/>
  <c r="Z11" i="14" l="1"/>
  <c r="AA11" i="14"/>
  <c r="AB11" i="14"/>
  <c r="Z12" i="14"/>
  <c r="AA12" i="14"/>
  <c r="AB12" i="14"/>
  <c r="Z5" i="14"/>
  <c r="AA5" i="14"/>
  <c r="AB5" i="14"/>
  <c r="Z6" i="14"/>
  <c r="AA6" i="14"/>
  <c r="AB6" i="14"/>
  <c r="Z7" i="14"/>
  <c r="AA7" i="14"/>
  <c r="AB7" i="14"/>
  <c r="V11" i="14" l="1"/>
  <c r="W11" i="14"/>
  <c r="X11" i="14"/>
  <c r="V12" i="14"/>
  <c r="W12" i="14"/>
  <c r="X12" i="14"/>
  <c r="V5" i="14"/>
  <c r="W5" i="14"/>
  <c r="X5" i="14"/>
  <c r="V6" i="14"/>
  <c r="W6" i="14"/>
  <c r="X6" i="14"/>
  <c r="V7" i="14"/>
  <c r="W7" i="14"/>
  <c r="X7" i="14"/>
  <c r="R11" i="14" l="1"/>
  <c r="S11" i="14"/>
  <c r="T11" i="14"/>
  <c r="R12" i="14"/>
  <c r="S12" i="14"/>
  <c r="T12" i="14"/>
  <c r="R5" i="14"/>
  <c r="S5" i="14"/>
  <c r="T5" i="14"/>
  <c r="R6" i="14"/>
  <c r="S6" i="14"/>
  <c r="T6" i="14"/>
  <c r="R7" i="14"/>
  <c r="S7" i="14"/>
  <c r="T7" i="14"/>
  <c r="N11" i="14" l="1"/>
  <c r="O11" i="14"/>
  <c r="P11" i="14"/>
  <c r="N12" i="14"/>
  <c r="O12" i="14"/>
  <c r="P12" i="14"/>
  <c r="N5" i="14"/>
  <c r="O5" i="14"/>
  <c r="P5" i="14"/>
  <c r="N6" i="14"/>
  <c r="O6" i="14"/>
  <c r="P6" i="14"/>
  <c r="N7" i="14"/>
  <c r="O7" i="14"/>
  <c r="P7" i="14"/>
  <c r="K11" i="14" l="1"/>
  <c r="L11" i="14"/>
  <c r="K12" i="14"/>
  <c r="L12" i="14"/>
  <c r="K5" i="14"/>
  <c r="L5" i="14"/>
  <c r="K6" i="14"/>
  <c r="L6" i="14"/>
  <c r="K7" i="14"/>
  <c r="L7" i="14"/>
  <c r="H11" i="14" l="1"/>
  <c r="I11" i="14"/>
  <c r="H12" i="14"/>
  <c r="I12" i="14"/>
  <c r="H5" i="14"/>
  <c r="I5" i="14"/>
  <c r="H6" i="14"/>
  <c r="I6" i="14"/>
  <c r="H7" i="14"/>
  <c r="I7" i="14"/>
  <c r="D13" i="14" l="1"/>
  <c r="W12" i="12"/>
  <c r="W11" i="12"/>
  <c r="W7" i="12"/>
  <c r="W6" i="12"/>
  <c r="W5" i="12"/>
  <c r="AO13" i="14"/>
  <c r="AG13" i="14"/>
  <c r="U13" i="14"/>
  <c r="Q13" i="14"/>
  <c r="M13" i="14"/>
  <c r="J13" i="14"/>
  <c r="G13" i="14"/>
  <c r="AS13" i="14"/>
  <c r="AC13" i="14"/>
  <c r="Y13" i="14"/>
  <c r="AB11" i="13" l="1"/>
  <c r="AC11" i="13"/>
  <c r="AB12" i="13"/>
  <c r="AC12" i="13"/>
  <c r="AB5" i="13"/>
  <c r="AC5" i="13"/>
  <c r="AB6" i="13"/>
  <c r="AC6" i="13"/>
  <c r="AB7" i="13"/>
  <c r="AC7" i="13"/>
  <c r="U5" i="13"/>
  <c r="R13" i="13"/>
  <c r="R5" i="13"/>
  <c r="L6" i="13"/>
  <c r="L5" i="13"/>
  <c r="AG13" i="13"/>
  <c r="AD13" i="13"/>
  <c r="AA13" i="13"/>
  <c r="X13" i="13"/>
  <c r="U13" i="13"/>
  <c r="O13" i="13"/>
  <c r="L13" i="13"/>
  <c r="I13" i="13"/>
  <c r="G13" i="13"/>
  <c r="E13" i="13"/>
  <c r="C13" i="13"/>
  <c r="O12" i="11"/>
  <c r="O11" i="11"/>
  <c r="O7" i="11"/>
  <c r="O6" i="11"/>
  <c r="O5" i="11"/>
  <c r="I5" i="12"/>
  <c r="Q6" i="11"/>
  <c r="Q7" i="11"/>
  <c r="Q11" i="11"/>
  <c r="Q12" i="11"/>
  <c r="Q5" i="11"/>
  <c r="V13" i="12"/>
  <c r="T13" i="12"/>
  <c r="R13" i="12"/>
  <c r="P13" i="12"/>
  <c r="L13" i="12"/>
  <c r="J13" i="12"/>
  <c r="H13" i="12"/>
  <c r="F13" i="12"/>
  <c r="E13" i="12"/>
  <c r="D13" i="12"/>
  <c r="C13" i="12"/>
  <c r="N13" i="12"/>
  <c r="J6" i="11"/>
  <c r="H13" i="11"/>
  <c r="N13" i="11"/>
  <c r="M13" i="11"/>
  <c r="L13" i="11"/>
  <c r="K13" i="11"/>
  <c r="J13" i="11"/>
  <c r="I13" i="11"/>
  <c r="G13" i="11"/>
  <c r="F13" i="11"/>
  <c r="E13" i="11"/>
  <c r="D13" i="11"/>
  <c r="C13" i="11"/>
  <c r="I5" i="10"/>
  <c r="N13" i="10"/>
  <c r="M13" i="10"/>
  <c r="L13" i="10"/>
  <c r="K13" i="10"/>
  <c r="J13" i="10"/>
  <c r="I13" i="10"/>
  <c r="H13" i="10"/>
  <c r="G13" i="10"/>
  <c r="F13" i="10"/>
  <c r="E13" i="10"/>
  <c r="C13" i="10"/>
  <c r="D13" i="10"/>
  <c r="J13" i="9"/>
  <c r="I13" i="9"/>
  <c r="G13" i="9"/>
  <c r="D5" i="9"/>
  <c r="C5" i="9"/>
  <c r="N13" i="9"/>
  <c r="M13" i="9"/>
  <c r="L13" i="9"/>
  <c r="K13" i="9"/>
  <c r="H13" i="9"/>
  <c r="F13" i="9"/>
  <c r="E13" i="9"/>
  <c r="D13" i="9"/>
  <c r="C13" i="9"/>
  <c r="L13" i="8"/>
  <c r="N13" i="8"/>
  <c r="M13" i="8"/>
  <c r="K13" i="8"/>
  <c r="J13" i="8"/>
  <c r="I13" i="8"/>
  <c r="H13" i="8"/>
  <c r="G13" i="8"/>
  <c r="F13" i="8"/>
  <c r="E13" i="8"/>
  <c r="D13" i="8"/>
  <c r="C13" i="8"/>
  <c r="D13" i="5"/>
  <c r="E13" i="5"/>
  <c r="F13" i="5"/>
  <c r="G13" i="5"/>
  <c r="H13" i="5"/>
  <c r="I13" i="5"/>
  <c r="J13" i="5"/>
  <c r="K13" i="5"/>
  <c r="L13" i="5"/>
  <c r="M13" i="5"/>
  <c r="N13" i="5"/>
  <c r="C13" i="5"/>
  <c r="N13" i="6"/>
  <c r="M13" i="6"/>
  <c r="L13" i="6"/>
  <c r="K13" i="6"/>
  <c r="J13" i="6"/>
  <c r="I13" i="6"/>
  <c r="H13" i="6"/>
  <c r="G13" i="6"/>
  <c r="F13" i="6"/>
  <c r="E13" i="6"/>
  <c r="D13" i="6"/>
  <c r="C13" i="6"/>
  <c r="N13" i="7"/>
  <c r="M13" i="7"/>
  <c r="L13" i="7"/>
  <c r="K13" i="7"/>
  <c r="J13" i="7"/>
  <c r="I13" i="7"/>
  <c r="H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<sst xmlns="http://schemas.openxmlformats.org/spreadsheetml/2006/main" count="312" uniqueCount="38">
  <si>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</si>
  <si>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</si>
  <si>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</si>
  <si>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</si>
  <si>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</si>
  <si>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</si>
  <si>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</si>
  <si>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</si>
  <si>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</si>
  <si>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</si>
  <si>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</si>
  <si>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</si>
  <si>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</si>
  <si>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</si>
  <si>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</si>
  <si>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</si>
  <si>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</si>
  <si>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</si>
  <si>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</si>
  <si>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кВт*ч</t>
  </si>
  <si>
    <t>Население, кВт*ч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</si>
  <si>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</si>
  <si>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</si>
  <si>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2013 год</t>
  </si>
  <si>
    <t>ОАО "МРСК Волги" "Мордовэнерго"</t>
  </si>
  <si>
    <t>Куйбышевская дирекция по энергообеспечению - структурного подразделения "Трансэнерго"- филиала ОАО "РЖД"</t>
  </si>
  <si>
    <t>ПАО "МРСК Волги" "Мордовэнерго"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</si>
  <si>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2016  год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</si>
  <si>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2017  год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</si>
  <si>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2018  год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</si>
  <si>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2019  год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</si>
  <si>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2020  год</t>
  </si>
  <si>
    <t>Куйбышевская дирекция по энергообеспечению - структурное подразделение "Трансэнерго"- филиала ОАО "РЖД"</t>
  </si>
  <si>
    <t>Филиал ПАО «Россети Волга» - "Мордовэнерго"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</si>
  <si>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2021  год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</si>
  <si>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2022  год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</si>
  <si>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2023  год</t>
  </si>
  <si>
    <t>Информация о фактическом полезном отпуске электрической энергии (мощности) потребителям ООО "РУСЭНЕРГОСБЫТ" в границах Республики Мордовия в разрезе ТСО за 2024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</si>
</sst>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/>
    <xf numFmtId="3" fontId="3" fillId="0" borderId="6" xfId="0" applyNumberFormat="1" applyFont="1" applyBorder="1" applyAlignment="1">
      <alignment horizontal="center"/>
    </xf>
    <xf numFmtId="3" fontId="2" fillId="0" borderId="0" xfId="0" applyNumberFormat="1" applyFont="1"/>
    <xf numFmtId="3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3" fontId="2" fillId="2" borderId="4" xfId="0" applyNumberFormat="1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vertical="center"/>
    </xf>
    <xf numFmtId="3" fontId="5" fillId="2" borderId="9" xfId="0" applyNumberFormat="1" applyFont="1" applyFill="1" applyBorder="1" applyAlignment="1">
      <alignment horizontal="center" vertical="center"/>
    </xf>
    <xf numFmtId="0" fontId="5" fillId="0" borderId="9" xfId="0" applyFont="1" applyBorder="1"/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1/&#1052;&#1086;&#1088;&#1076;&#1086;&#1074;&#1080;&#1103;/10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04\&#1056;&#1059;&#1057;&#1069;&#1053;&#1045;&#1056;&#1043;&#1054;&#1057;&#1041;&#1067;&#1058;%20%20110%20&#1082;&#1042;%20&#1052;&#1069;_04_20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5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05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05\&#1056;&#1059;&#1057;&#1069;&#1053;&#1045;&#1056;&#1043;&#1054;&#1057;&#1041;&#1067;&#1058;%20%20110%20&#1082;&#1042;%20&#1052;&#1069;_05_20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6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06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06\&#1056;&#1059;&#1057;&#1069;&#1053;&#1045;&#1056;&#1043;&#1054;&#1057;&#1041;&#1067;&#1058;%20%20110%20&#1082;&#1042;%20&#1052;&#1069;_06_20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7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07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07\&#1056;&#1059;&#1057;&#1069;&#1053;&#1045;&#1056;&#1043;&#1054;&#1057;&#1041;&#1067;&#1058;%20%20110%20&#1082;&#1042;%20&#1052;&#1069;_07_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8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08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08\&#1056;&#1059;&#1057;&#1069;&#1053;&#1045;&#1056;&#1043;&#1054;&#1057;&#1041;&#1067;&#1058;%20%20110%20&#1082;&#1042;%20&#1052;&#1069;_08_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9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09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1\10\&#1056;&#1059;&#1057;&#1069;&#1053;&#1045;&#1056;&#1043;&#1054;&#1057;&#1041;&#1067;&#1058;%202021%20110%20&#1082;&#1042;%20&#1052;&#1069;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09\&#1056;&#1059;&#1057;&#1069;&#1053;&#1045;&#1056;&#1043;&#1054;&#1057;&#1041;&#1067;&#1058;%20%20110%20&#1082;&#1042;%20&#1052;&#1069;_09_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10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1020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10\&#1056;&#1059;&#1057;&#1069;&#1053;&#1045;&#1056;&#1043;&#1054;&#1057;&#1041;&#1067;&#1058;%20%20110%20&#1082;&#1042;%20&#1052;&#1069;_10_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11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1120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11\&#1056;&#1059;&#1057;&#1069;&#1053;&#1045;&#1056;&#1043;&#1054;&#1057;&#1041;&#1067;&#1058;%20%20110%20&#1082;&#1042;%20&#1052;&#1069;_11_202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2/&#1060;&#1055;&#1050;/&#1060;&#1055;&#1050;,%20&#1042;&#1056;&#1050;_02202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3/&#1060;&#1055;&#1050;/&#1060;&#1055;&#1050;,%20&#1042;&#1056;&#1050;_0320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4/&#1060;&#1055;&#1050;/&#1060;&#1055;&#1050;,%20&#1042;&#1056;&#1050;_04202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5/&#1060;&#1055;&#1050;/&#1060;&#1055;&#1050;,%20&#1042;&#1056;&#1050;_0520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6/&#1060;&#1055;&#1050;/&#1060;&#1055;&#1050;,%20&#1042;&#1056;&#1050;_06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1/&#1052;&#1086;&#1088;&#1076;&#1086;&#1074;&#1080;&#1103;/10/&#1043;&#1046;&#1044;/&#1056;&#1072;&#1089;&#1095;&#1077;&#1090;%20&#1052;&#1086;&#1088;&#1076;&#1086;&#1074;&#1080;&#1103;%20&#1043;&#1046;&#1044;%204&#1062;&#1050;%20&#1086;&#1082;&#1090;&#1103;&#1073;&#1088;&#110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7/&#1060;&#1055;&#1050;/&#1060;&#1055;&#1050;,%20&#1042;&#1056;&#1050;_07202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8/&#1060;&#1055;&#1050;/&#1060;&#1055;&#1050;,%20&#1042;&#1056;&#1050;_08202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9/&#1060;&#1055;&#1050;/&#1060;&#1055;&#1050;,%20&#1042;&#1056;&#1050;_09202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10/&#1060;&#1055;&#1050;/&#1060;&#1055;&#1050;,%20&#1042;&#1056;&#1050;_10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11/&#1060;&#1055;&#1050;/&#1060;&#1055;&#1050;,%20&#1042;&#1056;&#1050;_11202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2;&#1086;&#1088;&#1076;&#1086;&#1074;&#1080;&#1103;/06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06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2;&#1086;&#1088;&#1076;&#1086;&#1074;&#1080;&#1103;/06/&#1060;&#1055;&#1050;/&#1060;&#1055;&#1050;,%20&#1042;&#1056;&#1050;_06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1/&#1052;&#1086;&#1088;&#1076;&#1086;&#1074;&#1080;&#1103;/10/&#1060;&#1055;&#1050;/&#1060;&#1055;&#1050;,%20&#1042;&#1056;&#1050;_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2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02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02\&#1056;&#1059;&#1057;&#1069;&#1053;&#1045;&#1056;&#1043;&#1054;&#1057;&#1041;&#1067;&#1058;%20%20110%20&#1082;&#1042;%20&#1052;&#1069;_02_202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3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03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9;&#1095;&#1077;&#1090;%20&#1069;&#1069;\&#1047;&#1072;&#1082;&#1088;&#1099;&#1090;&#1080;&#1077;%20&#1084;&#1077;&#1089;&#1103;&#1094;&#1072;\&#1052;&#1086;&#1088;&#1076;&#1086;&#1074;&#1080;&#1103;\2022\03\&#1056;&#1059;&#1057;&#1069;&#1053;&#1045;&#1056;&#1043;&#1054;&#1057;&#1041;&#1067;&#1058;%20%20110%20&#1082;&#1042;%20&#1052;&#1069;_03_202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2;&#1086;&#1088;&#1076;&#1086;&#1074;&#1080;&#1103;/04/&#1052;&#1069;&#1057;&#1050;%20520%20&#1087;&#1086;&#1082;&#1091;&#1087;&#1082;&#1072;%20&#1091;%20&#1052;&#1069;&#1057;&#1050;%20&#1087;&#1086;%204&#1062;&#1050;/_&#1055;&#1086;&#1082;&#1072;&#1079;&#1072;&#1085;&#1080;&#1103;%20&#1089;&#1095;&#1077;&#1090;&#1095;&#1080;&#1082;&#1086;&#1074;%20&#1087;&#1086;%20&#1076;&#1086;&#1075;.520%20&#1053;&#1091;&#1103;%2004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6">
          <cell r="N756">
            <v>72286</v>
          </cell>
        </row>
        <row r="759">
          <cell r="N759">
            <v>10343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7">
          <cell r="Q167">
            <v>25334537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5">
          <cell r="N755">
            <v>222833</v>
          </cell>
        </row>
        <row r="756">
          <cell r="N756">
            <v>41363</v>
          </cell>
        </row>
        <row r="757">
          <cell r="N757">
            <v>159959</v>
          </cell>
        </row>
        <row r="758">
          <cell r="N758">
            <v>14999</v>
          </cell>
        </row>
        <row r="759">
          <cell r="N759">
            <v>6512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7">
          <cell r="Q167">
            <v>23666629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5">
          <cell r="N755">
            <v>104279</v>
          </cell>
        </row>
        <row r="756">
          <cell r="N756">
            <v>28171</v>
          </cell>
        </row>
        <row r="757">
          <cell r="N757">
            <v>59608</v>
          </cell>
        </row>
        <row r="758">
          <cell r="N758">
            <v>11895</v>
          </cell>
        </row>
        <row r="759">
          <cell r="N759">
            <v>4605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7">
          <cell r="Q167">
            <v>19775869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5">
          <cell r="N755">
            <v>167810</v>
          </cell>
        </row>
        <row r="756">
          <cell r="N756">
            <v>32916</v>
          </cell>
        </row>
        <row r="757">
          <cell r="N757">
            <v>116775</v>
          </cell>
        </row>
        <row r="758">
          <cell r="N758">
            <v>12460</v>
          </cell>
        </row>
        <row r="759">
          <cell r="N759">
            <v>5659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7">
          <cell r="Q167">
            <v>21587878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5">
          <cell r="N755">
            <v>150282</v>
          </cell>
        </row>
        <row r="756">
          <cell r="N756">
            <v>13535</v>
          </cell>
        </row>
        <row r="757">
          <cell r="N757">
            <v>119626</v>
          </cell>
        </row>
        <row r="758">
          <cell r="N758">
            <v>11667</v>
          </cell>
        </row>
        <row r="759">
          <cell r="N759">
            <v>5454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6">
          <cell r="P166">
            <v>24635245</v>
          </cell>
        </row>
        <row r="167">
          <cell r="Q167">
            <v>24635245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5">
          <cell r="N755">
            <v>201081</v>
          </cell>
        </row>
        <row r="756">
          <cell r="N756">
            <v>33074</v>
          </cell>
        </row>
        <row r="757">
          <cell r="N757">
            <v>146056</v>
          </cell>
        </row>
        <row r="758">
          <cell r="N758">
            <v>13679</v>
          </cell>
        </row>
        <row r="759">
          <cell r="N759">
            <v>8272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9">
          <cell r="Q169">
            <v>25055913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7">
          <cell r="Q167">
            <v>23799468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5">
          <cell r="N755">
            <v>310736</v>
          </cell>
        </row>
        <row r="756">
          <cell r="N756">
            <v>58470</v>
          </cell>
        </row>
        <row r="757">
          <cell r="N757">
            <v>226892</v>
          </cell>
        </row>
        <row r="758">
          <cell r="N758">
            <v>15142</v>
          </cell>
        </row>
        <row r="759">
          <cell r="N759">
            <v>10232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7">
          <cell r="Q167">
            <v>25521074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6">
          <cell r="N756">
            <v>94453</v>
          </cell>
        </row>
        <row r="757">
          <cell r="N757">
            <v>264620</v>
          </cell>
        </row>
        <row r="758">
          <cell r="N758">
            <v>16878</v>
          </cell>
        </row>
        <row r="759">
          <cell r="N759">
            <v>12709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 акт Салий"/>
    </sheetNames>
    <sheetDataSet>
      <sheetData sheetId="0">
        <row r="169">
          <cell r="Q169">
            <v>27754781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57706</v>
          </cell>
        </row>
        <row r="15">
          <cell r="M15">
            <v>4924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56159</v>
          </cell>
        </row>
        <row r="15">
          <cell r="M15">
            <v>4562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49091</v>
          </cell>
        </row>
        <row r="15">
          <cell r="M15">
            <v>5313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29980</v>
          </cell>
        </row>
        <row r="15">
          <cell r="M15">
            <v>5359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24790</v>
          </cell>
        </row>
        <row r="15">
          <cell r="M15">
            <v>4924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щность со"/>
      <sheetName val="интервальный ВН 670-10 тсо"/>
      <sheetName val="интервальный ВН 670-10 ф.5 Нуя"/>
      <sheetName val="интервальный ВН 670-10 (фск)"/>
      <sheetName val="интервальный ВН 670-10 общ"/>
      <sheetName val="интервальный СН1 670-10"/>
      <sheetName val="Интервальный СН2  670-10 СО"/>
      <sheetName val="АТС МЭСК "/>
      <sheetName val="выгрузка"/>
      <sheetName val="Акт первичного учета "/>
      <sheetName val="Расчет 4ц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H17">
            <v>226.482</v>
          </cell>
        </row>
        <row r="19">
          <cell r="H19">
            <v>9.43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18395</v>
          </cell>
        </row>
        <row r="15">
          <cell r="M15">
            <v>4933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20681</v>
          </cell>
        </row>
        <row r="15">
          <cell r="M15">
            <v>6489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22835</v>
          </cell>
        </row>
        <row r="15">
          <cell r="M15">
            <v>5752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30757</v>
          </cell>
        </row>
        <row r="15">
          <cell r="M15">
            <v>5614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41636</v>
          </cell>
        </row>
        <row r="15">
          <cell r="M15">
            <v>5099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6">
          <cell r="N756">
            <v>1000</v>
          </cell>
        </row>
        <row r="757">
          <cell r="N757">
            <v>96454</v>
          </cell>
        </row>
        <row r="758">
          <cell r="N758">
            <v>14723</v>
          </cell>
        </row>
        <row r="759">
          <cell r="N759">
            <v>4984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23">
          <cell r="N23">
            <v>22.382000000000001</v>
          </cell>
        </row>
        <row r="24">
          <cell r="N24">
            <v>4.2140000000000004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4">
          <cell r="M14">
            <v>44860</v>
          </cell>
        </row>
        <row r="15">
          <cell r="M15">
            <v>3601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6">
          <cell r="N756">
            <v>106477</v>
          </cell>
        </row>
        <row r="757">
          <cell r="N757">
            <v>288679</v>
          </cell>
        </row>
        <row r="758">
          <cell r="N758">
            <v>17161</v>
          </cell>
        </row>
        <row r="759">
          <cell r="N759">
            <v>17392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7">
          <cell r="Q167">
            <v>24903602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5">
          <cell r="N755">
            <v>444416</v>
          </cell>
        </row>
        <row r="756">
          <cell r="N756">
            <v>105184</v>
          </cell>
        </row>
        <row r="757">
          <cell r="N757">
            <v>310257</v>
          </cell>
        </row>
        <row r="758">
          <cell r="N758">
            <v>17371</v>
          </cell>
        </row>
        <row r="759">
          <cell r="N759">
            <v>11604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167">
          <cell r="Q167">
            <v>30623198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Акт учета перетоков"/>
      <sheetName val="520 дог"/>
    </sheetNames>
    <sheetDataSet>
      <sheetData sheetId="0"/>
      <sheetData sheetId="1"/>
      <sheetData sheetId="2">
        <row r="755">
          <cell r="N755">
            <v>279728</v>
          </cell>
        </row>
        <row r="756">
          <cell r="N756">
            <v>62734</v>
          </cell>
        </row>
        <row r="757">
          <cell r="N757">
            <v>194121</v>
          </cell>
        </row>
        <row r="758">
          <cell r="N758">
            <v>14780</v>
          </cell>
        </row>
        <row r="759">
          <cell r="N759">
            <v>8093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opLeftCell="D1" workbookViewId="0">
      <selection activeCell="E19" sqref="E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24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22.5" customHeight="1" x14ac:dyDescent="0.25">
      <c r="A5" s="37"/>
      <c r="B5" s="5" t="s">
        <v>14</v>
      </c>
      <c r="C5" s="3">
        <v>26343695</v>
      </c>
      <c r="D5" s="3">
        <v>24061530</v>
      </c>
      <c r="E5" s="3">
        <v>28518472</v>
      </c>
      <c r="F5" s="3">
        <v>25002830</v>
      </c>
      <c r="G5" s="3">
        <v>25156878</v>
      </c>
      <c r="H5" s="3">
        <v>24223314</v>
      </c>
      <c r="I5" s="3">
        <v>23686423</v>
      </c>
      <c r="J5" s="3">
        <v>24694312</v>
      </c>
      <c r="K5" s="3">
        <v>23588249</v>
      </c>
      <c r="L5" s="3">
        <v>24854570</v>
      </c>
      <c r="M5" s="3">
        <v>24682960</v>
      </c>
      <c r="N5" s="3">
        <v>29030149</v>
      </c>
    </row>
    <row r="6" spans="1:14" ht="22.5" customHeight="1" x14ac:dyDescent="0.25">
      <c r="A6" s="37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7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37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8" t="s">
        <v>20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4" ht="22.5" customHeight="1" x14ac:dyDescent="0.25">
      <c r="A10" s="37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40.5" customHeight="1" x14ac:dyDescent="0.25">
      <c r="A11" s="43" t="s">
        <v>25</v>
      </c>
      <c r="B11" s="5" t="s">
        <v>16</v>
      </c>
      <c r="C11" s="3">
        <v>85803</v>
      </c>
      <c r="D11" s="3">
        <v>84695</v>
      </c>
      <c r="E11" s="3">
        <v>78517</v>
      </c>
      <c r="F11" s="3">
        <v>72849</v>
      </c>
      <c r="G11" s="3">
        <v>41412</v>
      </c>
      <c r="H11" s="3">
        <v>32380.000000000004</v>
      </c>
      <c r="I11" s="3">
        <v>28722</v>
      </c>
      <c r="J11" s="3">
        <v>33173</v>
      </c>
      <c r="K11" s="3">
        <v>47045</v>
      </c>
      <c r="L11" s="3">
        <v>54460</v>
      </c>
      <c r="M11" s="3">
        <v>58148</v>
      </c>
      <c r="N11" s="3">
        <v>65851</v>
      </c>
    </row>
    <row r="12" spans="1:14" ht="50.25" customHeight="1" x14ac:dyDescent="0.25">
      <c r="A12" s="43"/>
      <c r="B12" s="5" t="s">
        <v>17</v>
      </c>
      <c r="C12" s="3">
        <v>9856</v>
      </c>
      <c r="D12" s="3">
        <v>13780</v>
      </c>
      <c r="E12" s="3">
        <v>10096</v>
      </c>
      <c r="F12" s="3">
        <v>9042</v>
      </c>
      <c r="G12" s="3">
        <v>7078</v>
      </c>
      <c r="H12" s="3">
        <v>6828</v>
      </c>
      <c r="I12" s="3">
        <v>8793</v>
      </c>
      <c r="J12" s="3">
        <v>7527</v>
      </c>
      <c r="K12" s="3">
        <v>7075</v>
      </c>
      <c r="L12" s="3">
        <v>9983</v>
      </c>
      <c r="M12" s="3">
        <v>10150</v>
      </c>
      <c r="N12" s="3">
        <v>9840</v>
      </c>
    </row>
    <row r="13" spans="1:14" ht="22.5" customHeight="1" x14ac:dyDescent="0.25">
      <c r="A13" s="41" t="s">
        <v>18</v>
      </c>
      <c r="B13" s="42"/>
      <c r="C13" s="9">
        <f>SUM(C5:C8,C10,C11:C12)</f>
        <v>26439354</v>
      </c>
      <c r="D13" s="9">
        <f t="shared" ref="D13:N13" si="0">SUM(D5:D8,D10,D11:D12)</f>
        <v>24160005</v>
      </c>
      <c r="E13" s="9">
        <f t="shared" si="0"/>
        <v>28607085</v>
      </c>
      <c r="F13" s="9">
        <f t="shared" si="0"/>
        <v>25084721</v>
      </c>
      <c r="G13" s="9">
        <f t="shared" si="0"/>
        <v>25205368</v>
      </c>
      <c r="H13" s="9">
        <f t="shared" si="0"/>
        <v>24262522</v>
      </c>
      <c r="I13" s="9">
        <f t="shared" si="0"/>
        <v>23723938</v>
      </c>
      <c r="J13" s="9">
        <f t="shared" si="0"/>
        <v>24735012</v>
      </c>
      <c r="K13" s="9">
        <f t="shared" si="0"/>
        <v>23642369</v>
      </c>
      <c r="L13" s="9">
        <f t="shared" si="0"/>
        <v>24919013</v>
      </c>
      <c r="M13" s="9">
        <f t="shared" si="0"/>
        <v>24751258</v>
      </c>
      <c r="N13" s="9">
        <f t="shared" si="0"/>
        <v>29105840</v>
      </c>
    </row>
  </sheetData>
  <mergeCells count="6">
    <mergeCell ref="A2:N2"/>
    <mergeCell ref="A4:A10"/>
    <mergeCell ref="B4:N4"/>
    <mergeCell ref="B9:N9"/>
    <mergeCell ref="A13:B13"/>
    <mergeCell ref="A11:A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7"/>
  <sheetViews>
    <sheetView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9" sqref="J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1" style="1" customWidth="1"/>
    <col min="5" max="6" width="21" style="1" hidden="1" customWidth="1"/>
    <col min="7" max="7" width="21" style="1" customWidth="1"/>
    <col min="8" max="9" width="21" style="1" hidden="1" customWidth="1"/>
    <col min="10" max="10" width="21" style="1" customWidth="1"/>
    <col min="11" max="12" width="21" style="1" hidden="1" customWidth="1"/>
    <col min="13" max="13" width="21" style="1" customWidth="1"/>
    <col min="14" max="16" width="21" style="1" hidden="1" customWidth="1"/>
    <col min="17" max="17" width="21" style="1" customWidth="1"/>
    <col min="18" max="20" width="21" style="1" hidden="1" customWidth="1"/>
    <col min="21" max="21" width="21" style="1" customWidth="1"/>
    <col min="22" max="24" width="21" style="1" hidden="1" customWidth="1"/>
    <col min="25" max="25" width="21" style="1" customWidth="1"/>
    <col min="26" max="28" width="21" style="1" hidden="1" customWidth="1"/>
    <col min="29" max="29" width="21" style="1" customWidth="1"/>
    <col min="30" max="32" width="21" style="1" hidden="1" customWidth="1"/>
    <col min="33" max="33" width="21" style="1" customWidth="1"/>
    <col min="34" max="36" width="21" style="1" hidden="1" customWidth="1"/>
    <col min="37" max="37" width="21" style="1" customWidth="1"/>
    <col min="38" max="40" width="21" style="1" hidden="1" customWidth="1"/>
    <col min="41" max="41" width="21" style="1" customWidth="1"/>
    <col min="42" max="44" width="21" style="1" hidden="1" customWidth="1"/>
    <col min="45" max="45" width="21" style="1" customWidth="1"/>
    <col min="46" max="16384" width="9.140625" style="1"/>
  </cols>
  <sheetData>
    <row r="2" spans="1:46" ht="42.75" customHeight="1" x14ac:dyDescent="0.25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</row>
    <row r="4" spans="1:46" ht="22.5" customHeight="1" x14ac:dyDescent="0.25">
      <c r="A4" s="36" t="s">
        <v>33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40"/>
    </row>
    <row r="5" spans="1:46" ht="22.5" customHeight="1" x14ac:dyDescent="0.25">
      <c r="A5" s="37"/>
      <c r="B5" s="20" t="s">
        <v>14</v>
      </c>
      <c r="C5" s="20">
        <v>0.97946067820885119</v>
      </c>
      <c r="D5" s="19">
        <v>31176943</v>
      </c>
      <c r="E5" s="19"/>
      <c r="F5" s="19">
        <v>0.90383279342316525</v>
      </c>
      <c r="G5" s="19">
        <v>26740772</v>
      </c>
      <c r="H5" s="19">
        <f>1713301+'[5]520 дог'!$N$756+'[5]520 дог'!$N$759+[6]свод!$Q$167</f>
        <v>26740772</v>
      </c>
      <c r="I5" s="19">
        <f>1713301+'[5]520 дог'!$N$756+'[5]520 дог'!$N$759+[6]свод!$Q$167</f>
        <v>26740772</v>
      </c>
      <c r="J5" s="19">
        <v>32561091</v>
      </c>
      <c r="K5" s="19">
        <f>1821105+'[7]520 дог'!$N$756+'[7]520 дог'!$N$759+[8]свод!$Q$167</f>
        <v>32561091</v>
      </c>
      <c r="L5" s="19">
        <f>1821105+'[7]520 дог'!$N$756+'[7]520 дог'!$N$759+[8]свод!$Q$167</f>
        <v>32561091</v>
      </c>
      <c r="M5" s="19">
        <v>27334316</v>
      </c>
      <c r="N5" s="19">
        <f>1928952+'[9]520 дог'!$N$756+'[9]520 дог'!$N$759+[10]свод!$Q$167</f>
        <v>27334316</v>
      </c>
      <c r="O5" s="19">
        <f>1928952+'[9]520 дог'!$N$756+'[9]520 дог'!$N$759+[10]свод!$Q$167</f>
        <v>27334316</v>
      </c>
      <c r="P5" s="19">
        <f>1928952+'[9]520 дог'!$N$756+'[9]520 дог'!$N$759+[10]свод!$Q$167</f>
        <v>27334316</v>
      </c>
      <c r="Q5" s="19">
        <v>25520351</v>
      </c>
      <c r="R5" s="19">
        <f>1805847+'[11]520 дог'!$N$756+'[11]520 дог'!$N$759+[12]свод!$Q$167</f>
        <v>25520351</v>
      </c>
      <c r="S5" s="19">
        <f>1805847+'[11]520 дог'!$N$756+'[11]520 дог'!$N$759+[12]свод!$Q$167</f>
        <v>25520351</v>
      </c>
      <c r="T5" s="19">
        <f>1805847+'[11]520 дог'!$N$756+'[11]520 дог'!$N$759+[12]свод!$Q$167</f>
        <v>25520351</v>
      </c>
      <c r="U5" s="19">
        <v>21915298</v>
      </c>
      <c r="V5" s="19">
        <f>2106653+'[13]520 дог'!$N$756+'[13]520 дог'!$N$759+[14]свод!$Q$167</f>
        <v>21915298</v>
      </c>
      <c r="W5" s="19">
        <f>2106653+'[13]520 дог'!$N$756+'[13]520 дог'!$N$759+[14]свод!$Q$167</f>
        <v>21915298</v>
      </c>
      <c r="X5" s="19">
        <f>2106653+'[13]520 дог'!$N$756+'[13]520 дог'!$N$759+[14]свод!$Q$167</f>
        <v>21915298</v>
      </c>
      <c r="Y5" s="19">
        <v>23878314</v>
      </c>
      <c r="Z5" s="19">
        <f>2251861+'[15]520 дог'!$N$756+'[15]520 дог'!$N$759+[16]свод!$Q$167</f>
        <v>23878314</v>
      </c>
      <c r="AA5" s="19">
        <f>2251861+'[15]520 дог'!$N$756+'[15]520 дог'!$N$759+[16]свод!$Q$167</f>
        <v>23878314</v>
      </c>
      <c r="AB5" s="19">
        <f>2251861+'[15]520 дог'!$N$756+'[15]520 дог'!$N$759+[16]свод!$Q$167</f>
        <v>23878314</v>
      </c>
      <c r="AC5" s="19">
        <v>26828648</v>
      </c>
      <c r="AD5" s="19">
        <f>2174414+'[17]520 дог'!$N$756+'[17]520 дог'!$N$759+[18]свод!$Q$167</f>
        <v>26828648</v>
      </c>
      <c r="AE5" s="19">
        <f>2174414+'[17]520 дог'!$N$756+'[17]520 дог'!$N$759+[18]свод!$Q$167</f>
        <v>26828648</v>
      </c>
      <c r="AF5" s="19">
        <f>2174414+'[17]520 дог'!$N$756+'[17]520 дог'!$N$759+[18]свод!$Q$167</f>
        <v>26828648</v>
      </c>
      <c r="AG5" s="19">
        <v>25273517</v>
      </c>
      <c r="AH5" s="19">
        <f>1432703+'[19]520 дог'!$N$756+'[19]520 дог'!$N$759+[20]свод!$Q$167</f>
        <v>25273517</v>
      </c>
      <c r="AI5" s="19">
        <f>1432703+'[19]520 дог'!$N$756+'[19]520 дог'!$N$759+[20]свод!$Q$167</f>
        <v>25273517</v>
      </c>
      <c r="AJ5" s="19">
        <f>1432703+'[19]520 дог'!$N$756+'[19]520 дог'!$N$759+[20]свод!$Q$167</f>
        <v>25273517</v>
      </c>
      <c r="AK5" s="19">
        <v>27194593</v>
      </c>
      <c r="AL5" s="19">
        <f>1604817+'[21]520 дог'!$N$756+'[21]520 дог'!$N$759+[22]свод!$Q$167</f>
        <v>27194593</v>
      </c>
      <c r="AM5" s="19">
        <f>1604817+'[21]520 дог'!$N$756+'[21]520 дог'!$N$759+[22]свод!$Q$167</f>
        <v>27194593</v>
      </c>
      <c r="AN5" s="19">
        <f>1604817+'[21]520 дог'!$N$756+'[21]520 дог'!$N$759+[22]свод!$Q$167</f>
        <v>27194593</v>
      </c>
      <c r="AO5" s="19">
        <v>29507334</v>
      </c>
      <c r="AP5" s="19">
        <f>1645391+'[23]520 дог'!$N$756+'[23]520 дог'!$N$759+[24]свод!$Q$169</f>
        <v>29507334</v>
      </c>
      <c r="AQ5" s="19">
        <f>1645391+'[23]520 дог'!$N$756+'[23]520 дог'!$N$759+[24]свод!$Q$169</f>
        <v>29507334</v>
      </c>
      <c r="AR5" s="19">
        <f>1645391+'[23]520 дог'!$N$756+'[23]520 дог'!$N$759+[24]свод!$Q$169</f>
        <v>29507334</v>
      </c>
      <c r="AS5" s="19">
        <v>30452107</v>
      </c>
      <c r="AT5" s="17"/>
    </row>
    <row r="6" spans="1:46" ht="22.5" customHeight="1" x14ac:dyDescent="0.25">
      <c r="A6" s="37"/>
      <c r="B6" s="20" t="s">
        <v>15</v>
      </c>
      <c r="C6" s="20">
        <v>0.99970018383464876</v>
      </c>
      <c r="D6" s="19">
        <v>427930</v>
      </c>
      <c r="E6" s="19"/>
      <c r="F6" s="19">
        <v>0.82594398070078057</v>
      </c>
      <c r="G6" s="19">
        <v>288679</v>
      </c>
      <c r="H6" s="19">
        <f>'[5]520 дог'!$N$757</f>
        <v>288679</v>
      </c>
      <c r="I6" s="19">
        <f>'[5]520 дог'!$N$757</f>
        <v>288679</v>
      </c>
      <c r="J6" s="19">
        <v>310257</v>
      </c>
      <c r="K6" s="19">
        <f>'[7]520 дог'!$N$757</f>
        <v>310257</v>
      </c>
      <c r="L6" s="19">
        <f>'[7]520 дог'!$N$757</f>
        <v>310257</v>
      </c>
      <c r="M6" s="19">
        <v>194121</v>
      </c>
      <c r="N6" s="19">
        <f>'[9]520 дог'!$N$757</f>
        <v>194121</v>
      </c>
      <c r="O6" s="19">
        <f>'[9]520 дог'!$N$757</f>
        <v>194121</v>
      </c>
      <c r="P6" s="19">
        <f>'[9]520 дог'!$N$757</f>
        <v>194121</v>
      </c>
      <c r="Q6" s="19">
        <v>159959</v>
      </c>
      <c r="R6" s="19">
        <f>'[11]520 дог'!$N$757</f>
        <v>159959</v>
      </c>
      <c r="S6" s="19">
        <f>'[11]520 дог'!$N$757</f>
        <v>159959</v>
      </c>
      <c r="T6" s="19">
        <f>'[11]520 дог'!$N$757</f>
        <v>159959</v>
      </c>
      <c r="U6" s="19">
        <v>59608</v>
      </c>
      <c r="V6" s="19">
        <f>'[13]520 дог'!$N$757</f>
        <v>59608</v>
      </c>
      <c r="W6" s="19">
        <f>'[13]520 дог'!$N$757</f>
        <v>59608</v>
      </c>
      <c r="X6" s="19">
        <f>'[13]520 дог'!$N$757</f>
        <v>59608</v>
      </c>
      <c r="Y6" s="19">
        <v>116775</v>
      </c>
      <c r="Z6" s="19">
        <f>'[15]520 дог'!$N$757</f>
        <v>116775</v>
      </c>
      <c r="AA6" s="19">
        <f>'[15]520 дог'!$N$757</f>
        <v>116775</v>
      </c>
      <c r="AB6" s="19">
        <f>'[15]520 дог'!$N$757</f>
        <v>116775</v>
      </c>
      <c r="AC6" s="19">
        <v>119626</v>
      </c>
      <c r="AD6" s="19">
        <f>'[17]520 дог'!$N$757</f>
        <v>119626</v>
      </c>
      <c r="AE6" s="19">
        <f>'[17]520 дог'!$N$757</f>
        <v>119626</v>
      </c>
      <c r="AF6" s="19">
        <f>'[17]520 дог'!$N$757</f>
        <v>119626</v>
      </c>
      <c r="AG6" s="19">
        <v>146056</v>
      </c>
      <c r="AH6" s="19">
        <f>'[19]520 дог'!$N$757</f>
        <v>146056</v>
      </c>
      <c r="AI6" s="19">
        <f>'[19]520 дог'!$N$757</f>
        <v>146056</v>
      </c>
      <c r="AJ6" s="19">
        <f>'[19]520 дог'!$N$757</f>
        <v>146056</v>
      </c>
      <c r="AK6" s="19">
        <v>226892</v>
      </c>
      <c r="AL6" s="19">
        <f>'[21]520 дог'!$N$757</f>
        <v>226892</v>
      </c>
      <c r="AM6" s="19">
        <f>'[21]520 дог'!$N$757</f>
        <v>226892</v>
      </c>
      <c r="AN6" s="19">
        <f>'[21]520 дог'!$N$757</f>
        <v>226892</v>
      </c>
      <c r="AO6" s="19">
        <v>264620</v>
      </c>
      <c r="AP6" s="19">
        <f>'[23]520 дог'!$N$757</f>
        <v>264620</v>
      </c>
      <c r="AQ6" s="19">
        <f>'[23]520 дог'!$N$757</f>
        <v>264620</v>
      </c>
      <c r="AR6" s="19">
        <f>'[23]520 дог'!$N$757</f>
        <v>264620</v>
      </c>
      <c r="AS6" s="19">
        <v>365869</v>
      </c>
      <c r="AT6" s="17"/>
    </row>
    <row r="7" spans="1:46" ht="22.5" customHeight="1" x14ac:dyDescent="0.25">
      <c r="A7" s="37"/>
      <c r="B7" s="20" t="s">
        <v>16</v>
      </c>
      <c r="C7" s="20">
        <v>0.99842550679000197</v>
      </c>
      <c r="D7" s="19">
        <v>21000</v>
      </c>
      <c r="E7" s="19"/>
      <c r="F7" s="19">
        <v>0.94145476049674748</v>
      </c>
      <c r="G7" s="19">
        <v>17161</v>
      </c>
      <c r="H7" s="19">
        <f>'[5]520 дог'!$N$758</f>
        <v>17161</v>
      </c>
      <c r="I7" s="19">
        <f>'[5]520 дог'!$N$758</f>
        <v>17161</v>
      </c>
      <c r="J7" s="19">
        <v>17371</v>
      </c>
      <c r="K7" s="19">
        <f>'[7]520 дог'!$N$758</f>
        <v>17371</v>
      </c>
      <c r="L7" s="19">
        <f>'[7]520 дог'!$N$758</f>
        <v>17371</v>
      </c>
      <c r="M7" s="19">
        <v>14780</v>
      </c>
      <c r="N7" s="19">
        <f>'[9]520 дог'!$N$758</f>
        <v>14780</v>
      </c>
      <c r="O7" s="19">
        <f>'[9]520 дог'!$N$758</f>
        <v>14780</v>
      </c>
      <c r="P7" s="19">
        <f>'[9]520 дог'!$N$758</f>
        <v>14780</v>
      </c>
      <c r="Q7" s="19">
        <v>14999</v>
      </c>
      <c r="R7" s="19">
        <f>'[11]520 дог'!$N$758</f>
        <v>14999</v>
      </c>
      <c r="S7" s="19">
        <f>'[11]520 дог'!$N$758</f>
        <v>14999</v>
      </c>
      <c r="T7" s="19">
        <f>'[11]520 дог'!$N$758</f>
        <v>14999</v>
      </c>
      <c r="U7" s="19">
        <v>11895</v>
      </c>
      <c r="V7" s="19">
        <f>'[13]520 дог'!$N$758</f>
        <v>11895</v>
      </c>
      <c r="W7" s="19">
        <f>'[13]520 дог'!$N$758</f>
        <v>11895</v>
      </c>
      <c r="X7" s="19">
        <f>'[13]520 дог'!$N$758</f>
        <v>11895</v>
      </c>
      <c r="Y7" s="19">
        <v>12460</v>
      </c>
      <c r="Z7" s="19">
        <f>'[15]520 дог'!$N$758</f>
        <v>12460</v>
      </c>
      <c r="AA7" s="19">
        <f>'[15]520 дог'!$N$758</f>
        <v>12460</v>
      </c>
      <c r="AB7" s="19">
        <f>'[15]520 дог'!$N$758</f>
        <v>12460</v>
      </c>
      <c r="AC7" s="19">
        <v>11667</v>
      </c>
      <c r="AD7" s="19">
        <f>'[17]520 дог'!$N$758</f>
        <v>11667</v>
      </c>
      <c r="AE7" s="19">
        <f>'[17]520 дог'!$N$758</f>
        <v>11667</v>
      </c>
      <c r="AF7" s="19">
        <f>'[17]520 дог'!$N$758</f>
        <v>11667</v>
      </c>
      <c r="AG7" s="19">
        <v>13679</v>
      </c>
      <c r="AH7" s="19">
        <f>'[19]520 дог'!$N$758</f>
        <v>13679</v>
      </c>
      <c r="AI7" s="19">
        <f>'[19]520 дог'!$N$758</f>
        <v>13679</v>
      </c>
      <c r="AJ7" s="19">
        <f>'[19]520 дог'!$N$758</f>
        <v>13679</v>
      </c>
      <c r="AK7" s="19">
        <v>15142</v>
      </c>
      <c r="AL7" s="19">
        <f>'[21]520 дог'!$N$758</f>
        <v>15142</v>
      </c>
      <c r="AM7" s="19">
        <f>'[21]520 дог'!$N$758</f>
        <v>15142</v>
      </c>
      <c r="AN7" s="19">
        <f>'[21]520 дог'!$N$758</f>
        <v>15142</v>
      </c>
      <c r="AO7" s="19">
        <v>16878</v>
      </c>
      <c r="AP7" s="19">
        <f>'[23]520 дог'!$N$758</f>
        <v>16878</v>
      </c>
      <c r="AQ7" s="19">
        <f>'[23]520 дог'!$N$758</f>
        <v>16878</v>
      </c>
      <c r="AR7" s="19">
        <f>'[23]520 дог'!$N$758</f>
        <v>16878</v>
      </c>
      <c r="AS7" s="19">
        <v>30736</v>
      </c>
      <c r="AT7" s="17"/>
    </row>
    <row r="8" spans="1:46" ht="22.5" customHeight="1" x14ac:dyDescent="0.25">
      <c r="A8" s="37"/>
      <c r="B8" s="20" t="s">
        <v>17</v>
      </c>
      <c r="C8" s="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</row>
    <row r="9" spans="1:46" ht="22.5" customHeight="1" x14ac:dyDescent="0.25">
      <c r="A9" s="37"/>
      <c r="B9" s="45" t="s">
        <v>20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7"/>
    </row>
    <row r="10" spans="1:46" ht="22.5" customHeight="1" x14ac:dyDescent="0.25">
      <c r="A10" s="44"/>
      <c r="B10" s="22"/>
      <c r="C10" s="22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</row>
    <row r="11" spans="1:46" ht="45.75" customHeight="1" x14ac:dyDescent="0.25">
      <c r="A11" s="43" t="s">
        <v>32</v>
      </c>
      <c r="B11" s="20" t="s">
        <v>16</v>
      </c>
      <c r="C11" s="20">
        <v>1.0199936528086322</v>
      </c>
      <c r="D11" s="19">
        <v>58737</v>
      </c>
      <c r="E11" s="21"/>
      <c r="F11" s="21">
        <v>1.0779826893703683</v>
      </c>
      <c r="G11" s="19">
        <v>57706</v>
      </c>
      <c r="H11" s="19">
        <f>[25]свод!$M$14</f>
        <v>57706</v>
      </c>
      <c r="I11" s="19">
        <f>[25]свод!$M$14</f>
        <v>57706</v>
      </c>
      <c r="J11" s="19">
        <v>56159</v>
      </c>
      <c r="K11" s="19">
        <f>[26]свод!$M$14</f>
        <v>56159</v>
      </c>
      <c r="L11" s="19">
        <f>[26]свод!$M$14</f>
        <v>56159</v>
      </c>
      <c r="M11" s="19">
        <v>49091</v>
      </c>
      <c r="N11" s="19">
        <f>[27]свод!$M$14</f>
        <v>49091</v>
      </c>
      <c r="O11" s="19">
        <f>[27]свод!$M$14</f>
        <v>49091</v>
      </c>
      <c r="P11" s="19">
        <f>[27]свод!$M$14</f>
        <v>49091</v>
      </c>
      <c r="Q11" s="19">
        <v>29980</v>
      </c>
      <c r="R11" s="19">
        <f>[28]свод!$M$14</f>
        <v>29980</v>
      </c>
      <c r="S11" s="19">
        <f>[28]свод!$M$14</f>
        <v>29980</v>
      </c>
      <c r="T11" s="19">
        <f>[28]свод!$M$14</f>
        <v>29980</v>
      </c>
      <c r="U11" s="19">
        <v>24790</v>
      </c>
      <c r="V11" s="19">
        <f>[29]свод!$M$14</f>
        <v>24790</v>
      </c>
      <c r="W11" s="19">
        <f>[29]свод!$M$14</f>
        <v>24790</v>
      </c>
      <c r="X11" s="19">
        <f>[29]свод!$M$14</f>
        <v>24790</v>
      </c>
      <c r="Y11" s="19">
        <v>18395</v>
      </c>
      <c r="Z11" s="19">
        <f>[30]свод!$M$14</f>
        <v>18395</v>
      </c>
      <c r="AA11" s="19">
        <f>[30]свод!$M$14</f>
        <v>18395</v>
      </c>
      <c r="AB11" s="19">
        <f>[30]свод!$M$14</f>
        <v>18395</v>
      </c>
      <c r="AC11" s="19">
        <v>20681</v>
      </c>
      <c r="AD11" s="19">
        <f>[31]свод!$M$14</f>
        <v>20681</v>
      </c>
      <c r="AE11" s="19">
        <f>[31]свод!$M$14</f>
        <v>20681</v>
      </c>
      <c r="AF11" s="19">
        <f>[31]свод!$M$14</f>
        <v>20681</v>
      </c>
      <c r="AG11" s="19">
        <v>22835</v>
      </c>
      <c r="AH11" s="19">
        <f>[32]свод!$M$14</f>
        <v>22835</v>
      </c>
      <c r="AI11" s="19">
        <f>[32]свод!$M$14</f>
        <v>22835</v>
      </c>
      <c r="AJ11" s="19">
        <f>[32]свод!$M$14</f>
        <v>22835</v>
      </c>
      <c r="AK11" s="19">
        <v>30757</v>
      </c>
      <c r="AL11" s="19">
        <f>[33]свод!$M$14</f>
        <v>30757</v>
      </c>
      <c r="AM11" s="19">
        <f>[33]свод!$M$14</f>
        <v>30757</v>
      </c>
      <c r="AN11" s="19">
        <f>[33]свод!$M$14</f>
        <v>30757</v>
      </c>
      <c r="AO11" s="19">
        <v>41636</v>
      </c>
      <c r="AP11" s="19">
        <f>[34]свод!$M$14</f>
        <v>41636</v>
      </c>
      <c r="AQ11" s="19">
        <f>[34]свод!$M$14</f>
        <v>41636</v>
      </c>
      <c r="AR11" s="19">
        <f>[34]свод!$M$14</f>
        <v>41636</v>
      </c>
      <c r="AS11" s="19">
        <v>44986</v>
      </c>
      <c r="AT11" s="17"/>
    </row>
    <row r="12" spans="1:46" ht="45.75" customHeight="1" x14ac:dyDescent="0.25">
      <c r="A12" s="43"/>
      <c r="B12" s="20" t="s">
        <v>17</v>
      </c>
      <c r="C12" s="20">
        <v>1.2226137091607943</v>
      </c>
      <c r="D12" s="19">
        <v>5091</v>
      </c>
      <c r="E12" s="21"/>
      <c r="F12" s="21">
        <v>0.76526067592350011</v>
      </c>
      <c r="G12" s="19">
        <v>4924</v>
      </c>
      <c r="H12" s="19">
        <f>[25]свод!$M$15</f>
        <v>4924</v>
      </c>
      <c r="I12" s="19">
        <f>[25]свод!$M$15</f>
        <v>4924</v>
      </c>
      <c r="J12" s="19">
        <v>4562</v>
      </c>
      <c r="K12" s="19">
        <f>[26]свод!$M$15</f>
        <v>4562</v>
      </c>
      <c r="L12" s="19">
        <f>[26]свод!$M$15</f>
        <v>4562</v>
      </c>
      <c r="M12" s="19">
        <v>5313</v>
      </c>
      <c r="N12" s="19">
        <f>[27]свод!$M$15</f>
        <v>5313</v>
      </c>
      <c r="O12" s="19">
        <f>[27]свод!$M$15</f>
        <v>5313</v>
      </c>
      <c r="P12" s="19">
        <f>[27]свод!$M$15</f>
        <v>5313</v>
      </c>
      <c r="Q12" s="19">
        <v>5359</v>
      </c>
      <c r="R12" s="19">
        <f>[28]свод!$M$15</f>
        <v>5359</v>
      </c>
      <c r="S12" s="19">
        <f>[28]свод!$M$15</f>
        <v>5359</v>
      </c>
      <c r="T12" s="19">
        <f>[28]свод!$M$15</f>
        <v>5359</v>
      </c>
      <c r="U12" s="19">
        <v>4924</v>
      </c>
      <c r="V12" s="19">
        <f>[29]свод!$M$15</f>
        <v>4924</v>
      </c>
      <c r="W12" s="19">
        <f>[29]свод!$M$15</f>
        <v>4924</v>
      </c>
      <c r="X12" s="19">
        <f>[29]свод!$M$15</f>
        <v>4924</v>
      </c>
      <c r="Y12" s="19">
        <v>4933</v>
      </c>
      <c r="Z12" s="19">
        <f>[30]свод!$M$15</f>
        <v>4933</v>
      </c>
      <c r="AA12" s="19">
        <f>[30]свод!$M$15</f>
        <v>4933</v>
      </c>
      <c r="AB12" s="19">
        <f>[30]свод!$M$15</f>
        <v>4933</v>
      </c>
      <c r="AC12" s="19">
        <v>6489</v>
      </c>
      <c r="AD12" s="19">
        <f>[31]свод!$M$15</f>
        <v>6489</v>
      </c>
      <c r="AE12" s="19">
        <f>[31]свод!$M$15</f>
        <v>6489</v>
      </c>
      <c r="AF12" s="19">
        <f>[31]свод!$M$15</f>
        <v>6489</v>
      </c>
      <c r="AG12" s="19">
        <v>5752</v>
      </c>
      <c r="AH12" s="19">
        <f>[32]свод!$M$15</f>
        <v>5752</v>
      </c>
      <c r="AI12" s="19">
        <f>[32]свод!$M$15</f>
        <v>5752</v>
      </c>
      <c r="AJ12" s="19">
        <f>[32]свод!$M$15</f>
        <v>5752</v>
      </c>
      <c r="AK12" s="19">
        <v>5614</v>
      </c>
      <c r="AL12" s="19">
        <f>[33]свод!$M$15</f>
        <v>5614</v>
      </c>
      <c r="AM12" s="19">
        <f>[33]свод!$M$15</f>
        <v>5614</v>
      </c>
      <c r="AN12" s="19">
        <f>[33]свод!$M$15</f>
        <v>5614</v>
      </c>
      <c r="AO12" s="19">
        <v>5099</v>
      </c>
      <c r="AP12" s="19">
        <f>[34]свод!$M$15</f>
        <v>5099</v>
      </c>
      <c r="AQ12" s="19">
        <f>[34]свод!$M$15</f>
        <v>5099</v>
      </c>
      <c r="AR12" s="19">
        <f>[34]свод!$M$15</f>
        <v>5099</v>
      </c>
      <c r="AS12" s="19">
        <v>5382</v>
      </c>
      <c r="AT12" s="17"/>
    </row>
    <row r="13" spans="1:46" ht="22.5" customHeight="1" x14ac:dyDescent="0.25">
      <c r="A13" s="41" t="s">
        <v>18</v>
      </c>
      <c r="B13" s="42"/>
      <c r="C13" s="23"/>
      <c r="D13" s="9">
        <f>SUM(D5:D8,D10,D11:D12)</f>
        <v>31689701</v>
      </c>
      <c r="E13" s="9"/>
      <c r="F13" s="9"/>
      <c r="G13" s="9">
        <f t="shared" ref="G13:AS13" si="0">SUM(G5:G8,G10,G11:G12)</f>
        <v>27109242</v>
      </c>
      <c r="H13" s="9"/>
      <c r="I13" s="9"/>
      <c r="J13" s="9">
        <f t="shared" si="0"/>
        <v>32949440</v>
      </c>
      <c r="K13" s="9"/>
      <c r="L13" s="9"/>
      <c r="M13" s="9">
        <f t="shared" si="0"/>
        <v>27597621</v>
      </c>
      <c r="N13" s="9"/>
      <c r="O13" s="9"/>
      <c r="P13" s="9"/>
      <c r="Q13" s="9">
        <f t="shared" si="0"/>
        <v>25730648</v>
      </c>
      <c r="R13" s="9"/>
      <c r="S13" s="9"/>
      <c r="T13" s="9"/>
      <c r="U13" s="9">
        <f>SUM(U5:U8,U10,U11:U12)</f>
        <v>22016515</v>
      </c>
      <c r="V13" s="9"/>
      <c r="W13" s="9"/>
      <c r="X13" s="9"/>
      <c r="Y13" s="9">
        <f>SUM(Y5:Y8,Y10,Y11:Y12)</f>
        <v>24030877</v>
      </c>
      <c r="Z13" s="9"/>
      <c r="AA13" s="9"/>
      <c r="AB13" s="9"/>
      <c r="AC13" s="9">
        <f>SUM(AC5:AC8,AC10,AC11:AC12)</f>
        <v>26987111</v>
      </c>
      <c r="AD13" s="9"/>
      <c r="AE13" s="9"/>
      <c r="AF13" s="9"/>
      <c r="AG13" s="9">
        <f t="shared" si="0"/>
        <v>25461839</v>
      </c>
      <c r="AH13" s="9"/>
      <c r="AI13" s="9"/>
      <c r="AJ13" s="9"/>
      <c r="AK13" s="9">
        <f>SUM(AK5:AK8,AK10,AK11:AK12)</f>
        <v>27472998</v>
      </c>
      <c r="AL13" s="9"/>
      <c r="AM13" s="9"/>
      <c r="AN13" s="9"/>
      <c r="AO13" s="9">
        <f t="shared" si="0"/>
        <v>29835567</v>
      </c>
      <c r="AP13" s="9"/>
      <c r="AQ13" s="9"/>
      <c r="AR13" s="9"/>
      <c r="AS13" s="9">
        <f t="shared" si="0"/>
        <v>30899080</v>
      </c>
    </row>
    <row r="14" spans="1:46" ht="22.5" customHeight="1" x14ac:dyDescent="0.25">
      <c r="G14" s="24"/>
      <c r="AS14" s="24"/>
    </row>
    <row r="15" spans="1:46" ht="22.5" customHeight="1" x14ac:dyDescent="0.25">
      <c r="G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AC15" s="24"/>
      <c r="AG15" s="24"/>
      <c r="AS15" s="24"/>
    </row>
    <row r="16" spans="1:46" ht="22.5" customHeight="1" x14ac:dyDescent="0.25">
      <c r="G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AC16" s="24"/>
      <c r="AD16" s="24"/>
      <c r="AE16" s="24"/>
      <c r="AF16" s="24"/>
      <c r="AG16" s="24"/>
      <c r="AK16" s="24"/>
      <c r="AS16" s="24"/>
    </row>
    <row r="17" spans="25:37" ht="22.5" customHeight="1" x14ac:dyDescent="0.25">
      <c r="Y17" s="24"/>
      <c r="AK17" s="24"/>
    </row>
  </sheetData>
  <mergeCells count="6">
    <mergeCell ref="A13:B13"/>
    <mergeCell ref="A2:AS2"/>
    <mergeCell ref="A4:A10"/>
    <mergeCell ref="B4:AS4"/>
    <mergeCell ref="B9:AS9"/>
    <mergeCell ref="A11:A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zoomScaleNormal="100" workbookViewId="0">
      <pane xSplit="2" ySplit="4" topLeftCell="L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1" style="1" customWidth="1"/>
    <col min="15" max="15" width="10.140625" style="1" bestFit="1" customWidth="1"/>
    <col min="16" max="16384" width="9.140625" style="1"/>
  </cols>
  <sheetData>
    <row r="2" spans="1:15" ht="42.75" customHeight="1" x14ac:dyDescent="0.25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5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5" ht="22.5" customHeight="1" x14ac:dyDescent="0.25">
      <c r="A4" s="36" t="s">
        <v>33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27"/>
    </row>
    <row r="5" spans="1:15" ht="22.5" customHeight="1" x14ac:dyDescent="0.25">
      <c r="A5" s="37"/>
      <c r="B5" s="20" t="s">
        <v>14</v>
      </c>
      <c r="C5" s="19">
        <v>30915522</v>
      </c>
      <c r="D5" s="19">
        <v>27316878</v>
      </c>
      <c r="E5" s="19">
        <v>29319875</v>
      </c>
      <c r="F5" s="19">
        <v>27076783</v>
      </c>
      <c r="G5" s="19">
        <v>28175548</v>
      </c>
      <c r="H5" s="19">
        <f>5984+24290609+1982654</f>
        <v>26279247</v>
      </c>
      <c r="I5" s="19">
        <f>11522+25647289+2192746</f>
        <v>27851557</v>
      </c>
      <c r="J5" s="19">
        <f>27898+24632985+2025498</f>
        <v>26686381</v>
      </c>
      <c r="K5" s="19">
        <f>27490+23520969+1451825</f>
        <v>25000284</v>
      </c>
      <c r="L5" s="19">
        <f>75325+1565719+25888302</f>
        <v>27529346</v>
      </c>
      <c r="M5" s="19">
        <v>28396270</v>
      </c>
      <c r="N5" s="19">
        <v>29589283</v>
      </c>
      <c r="O5" s="25">
        <f>1925210+26243357+'[35]520 дог'!$N$756+'[35]520 дог'!$N$759</f>
        <v>28174551</v>
      </c>
    </row>
    <row r="6" spans="1:15" ht="22.5" customHeight="1" x14ac:dyDescent="0.25">
      <c r="A6" s="37"/>
      <c r="B6" s="20" t="s">
        <v>15</v>
      </c>
      <c r="C6" s="19">
        <v>327619</v>
      </c>
      <c r="D6" s="19">
        <v>261079</v>
      </c>
      <c r="E6" s="19">
        <v>235841</v>
      </c>
      <c r="F6" s="19">
        <v>141110</v>
      </c>
      <c r="G6" s="19">
        <v>106894</v>
      </c>
      <c r="H6" s="19">
        <v>96454</v>
      </c>
      <c r="I6" s="19">
        <v>132514</v>
      </c>
      <c r="J6" s="19">
        <v>124463</v>
      </c>
      <c r="K6" s="19">
        <v>123056</v>
      </c>
      <c r="L6" s="19">
        <v>233012</v>
      </c>
      <c r="M6" s="19">
        <v>251472</v>
      </c>
      <c r="N6" s="19">
        <v>362593</v>
      </c>
      <c r="O6" s="25">
        <f>'[35]520 дог'!$N$757</f>
        <v>96454</v>
      </c>
    </row>
    <row r="7" spans="1:15" ht="22.5" customHeight="1" x14ac:dyDescent="0.25">
      <c r="A7" s="37"/>
      <c r="B7" s="20" t="s">
        <v>16</v>
      </c>
      <c r="C7" s="19">
        <v>90838</v>
      </c>
      <c r="D7" s="19">
        <v>72948</v>
      </c>
      <c r="E7" s="19">
        <v>70653</v>
      </c>
      <c r="F7" s="19">
        <v>39572</v>
      </c>
      <c r="G7" s="19">
        <v>40585</v>
      </c>
      <c r="H7" s="19">
        <v>14723</v>
      </c>
      <c r="I7" s="19">
        <v>10620</v>
      </c>
      <c r="J7" s="19">
        <v>9628</v>
      </c>
      <c r="K7" s="19">
        <v>10291</v>
      </c>
      <c r="L7" s="19">
        <v>12034</v>
      </c>
      <c r="M7" s="19">
        <v>20257</v>
      </c>
      <c r="N7" s="19">
        <v>45777</v>
      </c>
      <c r="O7" s="25">
        <f>'[35]520 дог'!$N$758</f>
        <v>14723</v>
      </c>
    </row>
    <row r="8" spans="1:15" ht="22.5" customHeight="1" x14ac:dyDescent="0.25">
      <c r="A8" s="37"/>
      <c r="B8" s="20" t="s">
        <v>17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6"/>
    </row>
    <row r="9" spans="1:15" ht="22.5" customHeight="1" x14ac:dyDescent="0.25">
      <c r="A9" s="37"/>
      <c r="B9" s="45" t="s">
        <v>20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26"/>
    </row>
    <row r="10" spans="1:15" ht="22.5" customHeight="1" x14ac:dyDescent="0.25">
      <c r="A10" s="44"/>
      <c r="B10" s="22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6"/>
    </row>
    <row r="11" spans="1:15" ht="45.75" customHeight="1" x14ac:dyDescent="0.25">
      <c r="A11" s="43" t="s">
        <v>32</v>
      </c>
      <c r="B11" s="20" t="s">
        <v>16</v>
      </c>
      <c r="C11" s="19">
        <v>43924</v>
      </c>
      <c r="D11" s="19">
        <v>50046</v>
      </c>
      <c r="E11" s="19">
        <v>45793</v>
      </c>
      <c r="F11" s="19">
        <v>37042</v>
      </c>
      <c r="G11" s="19">
        <v>26100</v>
      </c>
      <c r="H11" s="19">
        <v>22382</v>
      </c>
      <c r="I11" s="19">
        <v>21409</v>
      </c>
      <c r="J11" s="19">
        <v>4455</v>
      </c>
      <c r="K11" s="19">
        <v>19055</v>
      </c>
      <c r="L11" s="19">
        <v>37804</v>
      </c>
      <c r="M11" s="19">
        <v>65961</v>
      </c>
      <c r="N11" s="19">
        <v>95734</v>
      </c>
      <c r="O11" s="25">
        <f>[36]свод!$N$23*1000</f>
        <v>22382</v>
      </c>
    </row>
    <row r="12" spans="1:15" ht="45.75" customHeight="1" x14ac:dyDescent="0.25">
      <c r="A12" s="43"/>
      <c r="B12" s="20" t="s">
        <v>17</v>
      </c>
      <c r="C12" s="19">
        <v>4876</v>
      </c>
      <c r="D12" s="19">
        <v>5165</v>
      </c>
      <c r="E12" s="19">
        <v>3901</v>
      </c>
      <c r="F12" s="19">
        <v>4218</v>
      </c>
      <c r="G12" s="19">
        <v>4291</v>
      </c>
      <c r="H12" s="19">
        <v>4214</v>
      </c>
      <c r="I12" s="19">
        <v>3891</v>
      </c>
      <c r="J12" s="19">
        <v>4970</v>
      </c>
      <c r="K12" s="19">
        <v>4287</v>
      </c>
      <c r="L12" s="19">
        <v>4445</v>
      </c>
      <c r="M12" s="19">
        <v>4817</v>
      </c>
      <c r="N12" s="19">
        <v>4262</v>
      </c>
      <c r="O12" s="25">
        <f>[36]свод!$N$24*1000</f>
        <v>4214</v>
      </c>
    </row>
    <row r="13" spans="1:15" ht="22.5" customHeight="1" x14ac:dyDescent="0.25">
      <c r="A13" s="41" t="s">
        <v>18</v>
      </c>
      <c r="B13" s="42"/>
      <c r="C13" s="9">
        <f>SUM(C5:C8,C10,C11:C12)</f>
        <v>31382779</v>
      </c>
      <c r="D13" s="9">
        <f t="shared" ref="D13:N13" si="0">SUM(D5:D8,D10,D11:D12)</f>
        <v>27706116</v>
      </c>
      <c r="E13" s="9">
        <f t="shared" si="0"/>
        <v>29676063</v>
      </c>
      <c r="F13" s="9">
        <f t="shared" si="0"/>
        <v>27298725</v>
      </c>
      <c r="G13" s="9">
        <f t="shared" si="0"/>
        <v>28353418</v>
      </c>
      <c r="H13" s="9">
        <f>SUM(H5:H8,H10,H11:H12)</f>
        <v>26417020</v>
      </c>
      <c r="I13" s="9">
        <f>SUM(I5:I8,I10,I11:I12)</f>
        <v>28019991</v>
      </c>
      <c r="J13" s="9">
        <f>SUM(J5:J8,J10,J11:J12)</f>
        <v>26829897</v>
      </c>
      <c r="K13" s="9">
        <f t="shared" si="0"/>
        <v>25156973</v>
      </c>
      <c r="L13" s="9">
        <f>SUM(L5:L8,L10,L11:L12)</f>
        <v>27816641</v>
      </c>
      <c r="M13" s="9">
        <f t="shared" si="0"/>
        <v>28738777</v>
      </c>
      <c r="N13" s="9">
        <f t="shared" si="0"/>
        <v>30097649</v>
      </c>
      <c r="O13" s="27"/>
    </row>
    <row r="14" spans="1:15" ht="22.5" customHeight="1" x14ac:dyDescent="0.25">
      <c r="D14" s="24"/>
      <c r="N14" s="24"/>
    </row>
    <row r="15" spans="1:15" ht="22.5" customHeight="1" x14ac:dyDescent="0.25">
      <c r="D15" s="24"/>
      <c r="E15" s="24"/>
      <c r="F15" s="24"/>
      <c r="G15" s="24"/>
      <c r="H15" s="24"/>
      <c r="J15" s="24"/>
      <c r="K15" s="24"/>
      <c r="N15" s="24"/>
    </row>
    <row r="16" spans="1:15" ht="22.5" customHeight="1" x14ac:dyDescent="0.25">
      <c r="C16" s="24"/>
      <c r="D16" s="24"/>
      <c r="E16" s="24"/>
      <c r="F16" s="24"/>
      <c r="G16" s="24"/>
      <c r="H16" s="24"/>
      <c r="J16" s="24"/>
      <c r="K16" s="24"/>
      <c r="L16" s="24"/>
      <c r="N16" s="24"/>
    </row>
    <row r="17" spans="3:12" ht="22.5" customHeight="1" x14ac:dyDescent="0.25">
      <c r="C17" s="24"/>
      <c r="D17" s="24"/>
      <c r="I17" s="24"/>
      <c r="L17" s="24"/>
    </row>
  </sheetData>
  <mergeCells count="6">
    <mergeCell ref="A13:B13"/>
    <mergeCell ref="A2:N2"/>
    <mergeCell ref="A4:A10"/>
    <mergeCell ref="B4:N4"/>
    <mergeCell ref="B9:N9"/>
    <mergeCell ref="A11:A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tabSelected="1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K16" sqref="K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9" width="21" style="1" customWidth="1"/>
    <col min="10" max="10" width="18.7109375" style="1" customWidth="1"/>
    <col min="11" max="14" width="21" style="1" customWidth="1"/>
    <col min="15" max="15" width="15.85546875" style="1" customWidth="1"/>
    <col min="16" max="16384" width="9.140625" style="1"/>
  </cols>
  <sheetData>
    <row r="2" spans="1:17" ht="42.75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1"/>
      <c r="P2" s="31"/>
      <c r="Q2" s="31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29" t="s">
        <v>13</v>
      </c>
      <c r="O3" s="32"/>
      <c r="P3" s="32"/>
      <c r="Q3" s="32"/>
    </row>
    <row r="4" spans="1:17" ht="22.5" customHeight="1" x14ac:dyDescent="0.25">
      <c r="A4" s="36" t="s">
        <v>33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1"/>
      <c r="P4" s="31"/>
      <c r="Q4" s="31"/>
    </row>
    <row r="5" spans="1:17" ht="22.5" customHeight="1" x14ac:dyDescent="0.25">
      <c r="A5" s="37"/>
      <c r="B5" s="20" t="s">
        <v>14</v>
      </c>
      <c r="C5" s="19">
        <f>157950+2030098+26685722</f>
        <v>28873770</v>
      </c>
      <c r="D5" s="19">
        <f>130808+25130803+1936141</f>
        <v>27197752</v>
      </c>
      <c r="E5" s="19">
        <f>103741+2080307+28767699</f>
        <v>30951747</v>
      </c>
      <c r="F5" s="19">
        <f>54123+1962173+23485554</f>
        <v>25501850</v>
      </c>
      <c r="G5" s="19">
        <f>38677+25541574+2068801</f>
        <v>27649052</v>
      </c>
      <c r="H5" s="19">
        <f>30668+2305266+22915865</f>
        <v>25251799</v>
      </c>
      <c r="I5" s="19">
        <f>2331487+22465783+29086</f>
        <v>24826356</v>
      </c>
      <c r="J5" s="19">
        <f>32050+2275812+23727304</f>
        <v>26035166</v>
      </c>
      <c r="K5" s="19">
        <f>27998+1686007+22106543</f>
        <v>23820548</v>
      </c>
      <c r="L5" s="19">
        <f>65167+24400508+2006160</f>
        <v>26471835</v>
      </c>
      <c r="M5" s="19">
        <f>94489+24647644+2068457</f>
        <v>26810590</v>
      </c>
      <c r="N5" s="28">
        <f>135737+23203981+2308673</f>
        <v>25648391</v>
      </c>
      <c r="O5" s="33">
        <f>1925210+26243357+'[35]520 дог'!$N$756+'[35]520 дог'!$N$759</f>
        <v>28174551</v>
      </c>
      <c r="P5" s="31"/>
      <c r="Q5" s="31"/>
    </row>
    <row r="6" spans="1:17" ht="22.5" customHeight="1" x14ac:dyDescent="0.25">
      <c r="A6" s="37"/>
      <c r="B6" s="20" t="s">
        <v>15</v>
      </c>
      <c r="C6" s="19">
        <v>426488</v>
      </c>
      <c r="D6" s="19">
        <v>332596</v>
      </c>
      <c r="E6" s="19">
        <v>299703</v>
      </c>
      <c r="F6" s="19">
        <v>162815</v>
      </c>
      <c r="G6" s="19">
        <v>160446</v>
      </c>
      <c r="H6" s="19">
        <v>84807</v>
      </c>
      <c r="I6" s="19">
        <v>109329</v>
      </c>
      <c r="J6" s="19">
        <v>48391</v>
      </c>
      <c r="K6" s="19">
        <v>98639</v>
      </c>
      <c r="L6" s="19">
        <v>206836</v>
      </c>
      <c r="M6" s="19">
        <v>260423</v>
      </c>
      <c r="N6" s="28">
        <v>357386</v>
      </c>
      <c r="O6" s="33">
        <f>'[35]520 дог'!$N$757</f>
        <v>96454</v>
      </c>
      <c r="P6" s="31"/>
      <c r="Q6" s="31"/>
    </row>
    <row r="7" spans="1:17" ht="22.5" customHeight="1" x14ac:dyDescent="0.25">
      <c r="A7" s="37"/>
      <c r="B7" s="20" t="s">
        <v>16</v>
      </c>
      <c r="C7" s="19">
        <v>16604</v>
      </c>
      <c r="D7" s="19">
        <v>10169</v>
      </c>
      <c r="E7" s="19">
        <v>13331</v>
      </c>
      <c r="F7" s="19">
        <v>12440</v>
      </c>
      <c r="G7" s="19">
        <v>13039</v>
      </c>
      <c r="H7" s="19">
        <v>11357</v>
      </c>
      <c r="I7" s="19">
        <v>11204</v>
      </c>
      <c r="J7" s="19">
        <v>71966</v>
      </c>
      <c r="K7" s="19">
        <v>10300</v>
      </c>
      <c r="L7" s="19">
        <v>12234</v>
      </c>
      <c r="M7" s="19">
        <v>13602</v>
      </c>
      <c r="N7" s="28">
        <v>14200</v>
      </c>
      <c r="O7" s="33">
        <f>'[35]520 дог'!$N$758</f>
        <v>14723</v>
      </c>
      <c r="P7" s="31"/>
      <c r="Q7" s="31"/>
    </row>
    <row r="8" spans="1:17" ht="22.5" customHeight="1" x14ac:dyDescent="0.25">
      <c r="A8" s="37"/>
      <c r="B8" s="20" t="s">
        <v>17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8"/>
      <c r="O8" s="34"/>
      <c r="P8" s="31"/>
      <c r="Q8" s="31"/>
    </row>
    <row r="9" spans="1:17" ht="22.5" customHeight="1" x14ac:dyDescent="0.25">
      <c r="A9" s="37"/>
      <c r="B9" s="45" t="s">
        <v>20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34"/>
      <c r="P9" s="31"/>
      <c r="Q9" s="31"/>
    </row>
    <row r="10" spans="1:17" ht="22.5" customHeight="1" x14ac:dyDescent="0.25">
      <c r="A10" s="44"/>
      <c r="B10" s="22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8"/>
      <c r="O10" s="34"/>
      <c r="P10" s="31"/>
      <c r="Q10" s="31"/>
    </row>
    <row r="11" spans="1:17" ht="45.75" customHeight="1" x14ac:dyDescent="0.25">
      <c r="A11" s="43" t="s">
        <v>32</v>
      </c>
      <c r="B11" s="20" t="s">
        <v>16</v>
      </c>
      <c r="C11" s="19">
        <v>74360</v>
      </c>
      <c r="D11" s="19">
        <v>65610</v>
      </c>
      <c r="E11" s="19">
        <v>50648</v>
      </c>
      <c r="F11" s="19">
        <v>40473</v>
      </c>
      <c r="G11" s="19">
        <v>27708</v>
      </c>
      <c r="H11" s="19">
        <v>15183</v>
      </c>
      <c r="I11" s="19">
        <v>20403</v>
      </c>
      <c r="J11" s="19">
        <v>19192</v>
      </c>
      <c r="K11" s="19">
        <v>13319</v>
      </c>
      <c r="L11" s="19">
        <v>27937</v>
      </c>
      <c r="M11" s="19">
        <v>51857</v>
      </c>
      <c r="N11" s="28">
        <v>69313</v>
      </c>
      <c r="O11" s="33">
        <f>[36]свод!$N$23*1000</f>
        <v>22382</v>
      </c>
      <c r="P11" s="31"/>
      <c r="Q11" s="31"/>
    </row>
    <row r="12" spans="1:17" ht="45.75" customHeight="1" x14ac:dyDescent="0.25">
      <c r="A12" s="43"/>
      <c r="B12" s="20" t="s">
        <v>17</v>
      </c>
      <c r="C12" s="19">
        <v>4893</v>
      </c>
      <c r="D12" s="19">
        <v>4767</v>
      </c>
      <c r="E12" s="19">
        <v>3876</v>
      </c>
      <c r="F12" s="19">
        <v>3843</v>
      </c>
      <c r="G12" s="19">
        <v>4747</v>
      </c>
      <c r="H12" s="19">
        <v>4730</v>
      </c>
      <c r="I12" s="19">
        <v>4847</v>
      </c>
      <c r="J12" s="19">
        <v>5284</v>
      </c>
      <c r="K12" s="19">
        <v>4784</v>
      </c>
      <c r="L12" s="19">
        <v>5541</v>
      </c>
      <c r="M12" s="19">
        <v>5295</v>
      </c>
      <c r="N12" s="28">
        <v>5209</v>
      </c>
      <c r="O12" s="33">
        <f>[36]свод!$N$24*1000</f>
        <v>4214</v>
      </c>
      <c r="P12" s="31"/>
      <c r="Q12" s="31"/>
    </row>
    <row r="13" spans="1:17" ht="22.5" customHeight="1" x14ac:dyDescent="0.25">
      <c r="A13" s="41" t="s">
        <v>18</v>
      </c>
      <c r="B13" s="42"/>
      <c r="C13" s="9">
        <f>SUM(C5:C8,C10,C11:C12)</f>
        <v>29396115</v>
      </c>
      <c r="D13" s="9">
        <f t="shared" ref="D13:N13" si="0">SUM(D5:D8,D10,D11:D12)</f>
        <v>27610894</v>
      </c>
      <c r="E13" s="9">
        <f t="shared" si="0"/>
        <v>31319305</v>
      </c>
      <c r="F13" s="9">
        <f t="shared" si="0"/>
        <v>25721421</v>
      </c>
      <c r="G13" s="9">
        <f t="shared" si="0"/>
        <v>27854992</v>
      </c>
      <c r="H13" s="9">
        <f>SUM(H5:H8,H10,H11:H12)</f>
        <v>25367876</v>
      </c>
      <c r="I13" s="9">
        <f>SUM(I5:I8,I10,I11:I12)</f>
        <v>24972139</v>
      </c>
      <c r="J13" s="9">
        <f>SUM(J5:J8,J10,J11:J12)</f>
        <v>26179999</v>
      </c>
      <c r="K13" s="9">
        <f t="shared" si="0"/>
        <v>23947590</v>
      </c>
      <c r="L13" s="9">
        <f>SUM(L5:L8,L10,L11:L12)</f>
        <v>26724383</v>
      </c>
      <c r="M13" s="9">
        <f t="shared" si="0"/>
        <v>27141767</v>
      </c>
      <c r="N13" s="30">
        <f t="shared" si="0"/>
        <v>26094499</v>
      </c>
      <c r="O13" s="31"/>
      <c r="P13" s="31"/>
      <c r="Q13" s="31"/>
    </row>
    <row r="14" spans="1:17" ht="22.5" customHeight="1" x14ac:dyDescent="0.25">
      <c r="D14" s="24"/>
      <c r="N14" s="24"/>
    </row>
    <row r="15" spans="1:17" ht="22.5" customHeight="1" x14ac:dyDescent="0.25">
      <c r="D15" s="24"/>
      <c r="E15" s="24"/>
      <c r="F15" s="24"/>
      <c r="G15" s="24"/>
      <c r="H15" s="24"/>
      <c r="J15" s="24"/>
      <c r="K15" s="24"/>
      <c r="N15" s="24"/>
    </row>
    <row r="16" spans="1:17" ht="22.5" customHeight="1" x14ac:dyDescent="0.25">
      <c r="C16" s="24"/>
      <c r="D16" s="24"/>
      <c r="E16" s="24"/>
      <c r="F16" s="24"/>
      <c r="G16" s="24"/>
      <c r="H16" s="24"/>
      <c r="J16" s="24"/>
      <c r="K16" s="24"/>
      <c r="L16" s="24"/>
      <c r="N16" s="24"/>
    </row>
    <row r="17" spans="3:12" ht="22.5" customHeight="1" x14ac:dyDescent="0.25">
      <c r="C17" s="24"/>
      <c r="D17" s="24"/>
      <c r="I17" s="24"/>
      <c r="L17" s="24"/>
    </row>
  </sheetData>
  <mergeCells count="6">
    <mergeCell ref="A13:B13"/>
    <mergeCell ref="A2:N2"/>
    <mergeCell ref="A4:A10"/>
    <mergeCell ref="B4:N4"/>
    <mergeCell ref="B9:N9"/>
    <mergeCell ref="A11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opLeftCell="D1" workbookViewId="0">
      <selection activeCell="C5" sqref="C5: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24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22.5" customHeight="1" x14ac:dyDescent="0.25">
      <c r="A5" s="37"/>
      <c r="B5" s="5" t="s">
        <v>14</v>
      </c>
      <c r="C5" s="3">
        <v>25549758</v>
      </c>
      <c r="D5" s="3">
        <v>22741746</v>
      </c>
      <c r="E5" s="3">
        <v>25625756</v>
      </c>
      <c r="F5" s="3">
        <v>23940938</v>
      </c>
      <c r="G5" s="3">
        <v>24812577</v>
      </c>
      <c r="H5" s="3">
        <v>21625145</v>
      </c>
      <c r="I5" s="3">
        <v>21517001</v>
      </c>
      <c r="J5" s="3">
        <v>23848732</v>
      </c>
      <c r="K5" s="3">
        <v>21992927</v>
      </c>
      <c r="L5" s="3">
        <v>24151731</v>
      </c>
      <c r="M5" s="3">
        <v>26568351</v>
      </c>
      <c r="N5" s="3">
        <v>27997590</v>
      </c>
    </row>
    <row r="6" spans="1:14" ht="22.5" customHeight="1" x14ac:dyDescent="0.25">
      <c r="A6" s="37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7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37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8" t="s">
        <v>20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4" ht="22.5" customHeight="1" x14ac:dyDescent="0.25">
      <c r="A10" s="4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9.75" customHeight="1" x14ac:dyDescent="0.25">
      <c r="A11" s="43" t="s">
        <v>25</v>
      </c>
      <c r="B11" s="5" t="s">
        <v>16</v>
      </c>
      <c r="C11" s="3">
        <v>66550</v>
      </c>
      <c r="D11" s="3">
        <v>93125</v>
      </c>
      <c r="E11" s="3">
        <v>72069</v>
      </c>
      <c r="F11" s="3">
        <v>72669</v>
      </c>
      <c r="G11" s="3">
        <v>50754</v>
      </c>
      <c r="H11" s="3">
        <v>57197</v>
      </c>
      <c r="I11" s="3">
        <v>61924</v>
      </c>
      <c r="J11" s="3">
        <v>53111</v>
      </c>
      <c r="K11" s="3">
        <v>64986.999999999993</v>
      </c>
      <c r="L11" s="3">
        <v>93138</v>
      </c>
      <c r="M11" s="3">
        <v>88014</v>
      </c>
      <c r="N11" s="3">
        <v>112755</v>
      </c>
    </row>
    <row r="12" spans="1:14" ht="50.25" customHeight="1" x14ac:dyDescent="0.25">
      <c r="A12" s="43"/>
      <c r="B12" s="5" t="s">
        <v>17</v>
      </c>
      <c r="C12" s="3">
        <v>13381</v>
      </c>
      <c r="D12" s="3">
        <v>10188</v>
      </c>
      <c r="E12" s="3">
        <v>10238</v>
      </c>
      <c r="F12" s="3">
        <v>8555</v>
      </c>
      <c r="G12" s="3">
        <v>7064</v>
      </c>
      <c r="H12" s="3">
        <v>6717</v>
      </c>
      <c r="I12" s="3">
        <v>6989</v>
      </c>
      <c r="J12" s="3">
        <v>9584</v>
      </c>
      <c r="K12" s="3">
        <v>7371</v>
      </c>
      <c r="L12" s="3">
        <v>4816</v>
      </c>
      <c r="M12" s="3">
        <v>3099</v>
      </c>
      <c r="N12" s="3">
        <v>3727</v>
      </c>
    </row>
    <row r="13" spans="1:14" ht="22.5" customHeight="1" x14ac:dyDescent="0.25">
      <c r="A13" s="41" t="s">
        <v>18</v>
      </c>
      <c r="B13" s="42"/>
      <c r="C13" s="9">
        <f>SUM(C5:C8,C10,C11:C12)</f>
        <v>25629689</v>
      </c>
      <c r="D13" s="9">
        <f t="shared" ref="D13:N13" si="0">SUM(D5:D8,D10,D11:D12)</f>
        <v>22845059</v>
      </c>
      <c r="E13" s="9">
        <f t="shared" si="0"/>
        <v>25708063</v>
      </c>
      <c r="F13" s="9">
        <f t="shared" si="0"/>
        <v>24022162</v>
      </c>
      <c r="G13" s="9">
        <f t="shared" si="0"/>
        <v>24870395</v>
      </c>
      <c r="H13" s="9">
        <f t="shared" si="0"/>
        <v>21689059</v>
      </c>
      <c r="I13" s="9">
        <f t="shared" si="0"/>
        <v>21585914</v>
      </c>
      <c r="J13" s="9">
        <f t="shared" si="0"/>
        <v>23911427</v>
      </c>
      <c r="K13" s="9">
        <f t="shared" si="0"/>
        <v>22065285</v>
      </c>
      <c r="L13" s="9">
        <f t="shared" si="0"/>
        <v>24249685</v>
      </c>
      <c r="M13" s="9">
        <f t="shared" si="0"/>
        <v>26659464</v>
      </c>
      <c r="N13" s="9">
        <f t="shared" si="0"/>
        <v>28114072</v>
      </c>
    </row>
  </sheetData>
  <mergeCells count="6">
    <mergeCell ref="A2:N2"/>
    <mergeCell ref="A4:A10"/>
    <mergeCell ref="B4:N4"/>
    <mergeCell ref="B9:N9"/>
    <mergeCell ref="A13:B13"/>
    <mergeCell ref="A11:A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26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22.5" customHeight="1" x14ac:dyDescent="0.25">
      <c r="A5" s="37"/>
      <c r="B5" s="5" t="s">
        <v>14</v>
      </c>
      <c r="C5" s="3">
        <v>24667104</v>
      </c>
      <c r="D5" s="3">
        <v>22569335</v>
      </c>
      <c r="E5" s="3">
        <v>25238281</v>
      </c>
      <c r="F5" s="3">
        <v>22255520</v>
      </c>
      <c r="G5" s="3">
        <v>22955839</v>
      </c>
      <c r="H5" s="3">
        <v>23233652</v>
      </c>
      <c r="I5" s="3">
        <v>23357003</v>
      </c>
      <c r="J5" s="3">
        <v>20622261</v>
      </c>
      <c r="K5" s="3">
        <v>17168098</v>
      </c>
      <c r="L5" s="3">
        <v>21692872</v>
      </c>
      <c r="M5" s="3">
        <v>24513227</v>
      </c>
      <c r="N5" s="3">
        <v>26348737</v>
      </c>
    </row>
    <row r="6" spans="1:14" ht="22.5" customHeight="1" x14ac:dyDescent="0.25">
      <c r="A6" s="37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7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37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8" t="s">
        <v>20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4" ht="22.5" customHeight="1" x14ac:dyDescent="0.25">
      <c r="A10" s="4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45.75" customHeight="1" x14ac:dyDescent="0.25">
      <c r="A11" s="43" t="s">
        <v>25</v>
      </c>
      <c r="B11" s="5" t="s">
        <v>16</v>
      </c>
      <c r="C11" s="3">
        <v>88823</v>
      </c>
      <c r="D11" s="3">
        <v>115046</v>
      </c>
      <c r="E11" s="3">
        <v>93465</v>
      </c>
      <c r="F11" s="3">
        <v>84881</v>
      </c>
      <c r="G11" s="3">
        <v>61340</v>
      </c>
      <c r="H11" s="3">
        <v>61669</v>
      </c>
      <c r="I11" s="3">
        <v>58190</v>
      </c>
      <c r="J11" s="3">
        <v>64293</v>
      </c>
      <c r="K11" s="3">
        <v>64381</v>
      </c>
      <c r="L11" s="3">
        <v>78235</v>
      </c>
      <c r="M11" s="3">
        <v>86553</v>
      </c>
      <c r="N11" s="3">
        <v>89575</v>
      </c>
    </row>
    <row r="12" spans="1:14" ht="45.75" customHeight="1" x14ac:dyDescent="0.25">
      <c r="A12" s="43"/>
      <c r="B12" s="5" t="s">
        <v>17</v>
      </c>
      <c r="C12" s="3">
        <v>4265</v>
      </c>
      <c r="D12" s="3">
        <v>3877</v>
      </c>
      <c r="E12" s="3">
        <v>3172</v>
      </c>
      <c r="F12" s="3">
        <v>2743</v>
      </c>
      <c r="G12" s="3">
        <v>3415</v>
      </c>
      <c r="H12" s="3">
        <v>2606</v>
      </c>
      <c r="I12" s="3">
        <v>3065</v>
      </c>
      <c r="J12" s="3">
        <v>2428</v>
      </c>
      <c r="K12" s="3">
        <v>2791</v>
      </c>
      <c r="L12" s="3">
        <v>3933</v>
      </c>
      <c r="M12" s="3">
        <v>3275</v>
      </c>
      <c r="N12" s="3">
        <v>3073</v>
      </c>
    </row>
    <row r="13" spans="1:14" ht="22.5" customHeight="1" x14ac:dyDescent="0.25">
      <c r="A13" s="41" t="s">
        <v>18</v>
      </c>
      <c r="B13" s="42"/>
      <c r="C13" s="9">
        <f>SUM(C5:C8,C10,C11:C12)</f>
        <v>24760192</v>
      </c>
      <c r="D13" s="9">
        <f t="shared" ref="D13:N13" si="0">SUM(D5:D8,D10,D11:D12)</f>
        <v>22688258</v>
      </c>
      <c r="E13" s="9">
        <f t="shared" si="0"/>
        <v>25334918</v>
      </c>
      <c r="F13" s="9">
        <f t="shared" si="0"/>
        <v>22343144</v>
      </c>
      <c r="G13" s="9">
        <f t="shared" si="0"/>
        <v>23020594</v>
      </c>
      <c r="H13" s="9">
        <f t="shared" si="0"/>
        <v>23297927</v>
      </c>
      <c r="I13" s="9">
        <f t="shared" si="0"/>
        <v>23418258</v>
      </c>
      <c r="J13" s="9">
        <f t="shared" si="0"/>
        <v>20688982</v>
      </c>
      <c r="K13" s="9">
        <f t="shared" si="0"/>
        <v>17235270</v>
      </c>
      <c r="L13" s="9">
        <f t="shared" si="0"/>
        <v>21775040</v>
      </c>
      <c r="M13" s="9">
        <f t="shared" si="0"/>
        <v>24603055</v>
      </c>
      <c r="N13" s="9">
        <f t="shared" si="0"/>
        <v>26441385</v>
      </c>
    </row>
  </sheetData>
  <mergeCells count="6">
    <mergeCell ref="A2:N2"/>
    <mergeCell ref="A4:A10"/>
    <mergeCell ref="B4:N4"/>
    <mergeCell ref="B9:N9"/>
    <mergeCell ref="A13:B13"/>
    <mergeCell ref="A11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view="pageBreakPreview" zoomScale="70" zoomScaleNormal="70" zoomScaleSheetLayoutView="70" workbookViewId="0">
      <selection activeCell="N5" sqref="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26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22.5" customHeight="1" x14ac:dyDescent="0.25">
      <c r="A5" s="37"/>
      <c r="B5" s="10" t="s">
        <v>14</v>
      </c>
      <c r="C5" s="3">
        <v>24768775</v>
      </c>
      <c r="D5" s="3">
        <v>20852074</v>
      </c>
      <c r="E5" s="3">
        <v>22560593</v>
      </c>
      <c r="F5" s="3">
        <v>19739871</v>
      </c>
      <c r="G5" s="3">
        <v>20479636</v>
      </c>
      <c r="H5" s="3">
        <v>19455236</v>
      </c>
      <c r="I5" s="3">
        <v>20098465</v>
      </c>
      <c r="J5" s="11">
        <v>19931971</v>
      </c>
      <c r="K5" s="11">
        <v>18391285</v>
      </c>
      <c r="L5" s="11">
        <v>21383563</v>
      </c>
      <c r="M5" s="11">
        <v>22071936</v>
      </c>
      <c r="N5" s="11">
        <v>26133140</v>
      </c>
    </row>
    <row r="6" spans="1:14" ht="22.5" customHeight="1" x14ac:dyDescent="0.25">
      <c r="A6" s="37"/>
      <c r="B6" s="10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7"/>
      <c r="B7" s="10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37"/>
      <c r="B8" s="10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8" t="s">
        <v>20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4" ht="22.5" customHeight="1" x14ac:dyDescent="0.25">
      <c r="A10" s="4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45.75" customHeight="1" x14ac:dyDescent="0.25">
      <c r="A11" s="43" t="s">
        <v>25</v>
      </c>
      <c r="B11" s="10" t="s">
        <v>16</v>
      </c>
      <c r="C11" s="3">
        <v>90801</v>
      </c>
      <c r="D11" s="3">
        <v>103600</v>
      </c>
      <c r="E11" s="3">
        <v>80234</v>
      </c>
      <c r="F11" s="3">
        <v>77827</v>
      </c>
      <c r="G11" s="3">
        <v>58412</v>
      </c>
      <c r="H11" s="3">
        <v>59677</v>
      </c>
      <c r="I11" s="3">
        <v>46998</v>
      </c>
      <c r="J11" s="3">
        <v>54331</v>
      </c>
      <c r="K11" s="3">
        <v>64085</v>
      </c>
      <c r="L11" s="3">
        <v>76846</v>
      </c>
      <c r="M11" s="11">
        <v>105229</v>
      </c>
      <c r="N11" s="11">
        <v>120731</v>
      </c>
    </row>
    <row r="12" spans="1:14" ht="45.75" customHeight="1" x14ac:dyDescent="0.25">
      <c r="A12" s="43"/>
      <c r="B12" s="10" t="s">
        <v>17</v>
      </c>
      <c r="C12" s="3">
        <v>3684</v>
      </c>
      <c r="D12" s="3">
        <v>3472</v>
      </c>
      <c r="E12" s="3">
        <v>3067</v>
      </c>
      <c r="F12" s="3">
        <v>3333</v>
      </c>
      <c r="G12" s="3">
        <v>2426</v>
      </c>
      <c r="H12" s="3">
        <v>2843</v>
      </c>
      <c r="I12" s="3">
        <v>2513</v>
      </c>
      <c r="J12" s="3">
        <v>2991</v>
      </c>
      <c r="K12" s="3">
        <v>3108</v>
      </c>
      <c r="L12" s="3">
        <v>3589</v>
      </c>
      <c r="M12" s="11">
        <v>3417</v>
      </c>
      <c r="N12" s="11">
        <v>3104</v>
      </c>
    </row>
    <row r="13" spans="1:14" ht="22.5" customHeight="1" x14ac:dyDescent="0.25">
      <c r="A13" s="41" t="s">
        <v>18</v>
      </c>
      <c r="B13" s="42"/>
      <c r="C13" s="9">
        <f>SUM(C5:C8,C10,C11:C12)</f>
        <v>24863260</v>
      </c>
      <c r="D13" s="9">
        <f t="shared" ref="D13:N13" si="0">SUM(D5:D8,D10,D11:D12)</f>
        <v>20959146</v>
      </c>
      <c r="E13" s="9">
        <f t="shared" si="0"/>
        <v>22643894</v>
      </c>
      <c r="F13" s="9">
        <f t="shared" si="0"/>
        <v>19821031</v>
      </c>
      <c r="G13" s="9">
        <f t="shared" si="0"/>
        <v>20540474</v>
      </c>
      <c r="H13" s="9">
        <f t="shared" si="0"/>
        <v>19517756</v>
      </c>
      <c r="I13" s="9">
        <f t="shared" si="0"/>
        <v>20147976</v>
      </c>
      <c r="J13" s="9">
        <f t="shared" si="0"/>
        <v>19989293</v>
      </c>
      <c r="K13" s="9">
        <f t="shared" si="0"/>
        <v>18458478</v>
      </c>
      <c r="L13" s="9">
        <f>SUM(L5:L8,L10,L11:L12)</f>
        <v>21463998</v>
      </c>
      <c r="M13" s="9">
        <f t="shared" si="0"/>
        <v>22180582</v>
      </c>
      <c r="N13" s="9">
        <f t="shared" si="0"/>
        <v>26256975</v>
      </c>
    </row>
  </sheetData>
  <mergeCells count="6">
    <mergeCell ref="A13:B13"/>
    <mergeCell ref="A2:N2"/>
    <mergeCell ref="A4:A10"/>
    <mergeCell ref="B4:N4"/>
    <mergeCell ref="B9:N9"/>
    <mergeCell ref="A11:A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view="pageBreakPreview" zoomScale="70" zoomScaleNormal="70" zoomScaleSheetLayoutView="70" workbookViewId="0">
      <selection activeCell="N16" sqref="N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26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22.5" customHeight="1" x14ac:dyDescent="0.25">
      <c r="A5" s="37"/>
      <c r="B5" s="12" t="s">
        <v>14</v>
      </c>
      <c r="C5" s="3">
        <f>25026796+141141</f>
        <v>25167937</v>
      </c>
      <c r="D5" s="3">
        <f>23006073+119318</f>
        <v>23125391</v>
      </c>
      <c r="E5" s="3">
        <v>25885011</v>
      </c>
      <c r="F5" s="3">
        <v>23895948</v>
      </c>
      <c r="G5" s="3">
        <v>22492249</v>
      </c>
      <c r="H5" s="3">
        <v>21269370</v>
      </c>
      <c r="I5" s="3">
        <v>23021505</v>
      </c>
      <c r="J5" s="11">
        <v>23980357</v>
      </c>
      <c r="K5" s="11">
        <v>23379622</v>
      </c>
      <c r="L5" s="11">
        <v>26189189</v>
      </c>
      <c r="M5" s="11">
        <v>27143117</v>
      </c>
      <c r="N5" s="11">
        <v>29660187</v>
      </c>
    </row>
    <row r="6" spans="1:14" ht="22.5" customHeight="1" x14ac:dyDescent="0.25">
      <c r="A6" s="37"/>
      <c r="B6" s="12" t="s">
        <v>15</v>
      </c>
      <c r="C6" s="3">
        <v>520601</v>
      </c>
      <c r="D6" s="3">
        <v>256763</v>
      </c>
      <c r="E6" s="3">
        <v>350100</v>
      </c>
      <c r="F6" s="3">
        <v>277753</v>
      </c>
      <c r="G6" s="3">
        <v>111576</v>
      </c>
      <c r="H6" s="3">
        <v>130499</v>
      </c>
      <c r="I6" s="3">
        <v>108840</v>
      </c>
      <c r="J6" s="3">
        <v>97277</v>
      </c>
      <c r="K6" s="3">
        <v>177257</v>
      </c>
      <c r="L6" s="3">
        <v>281869</v>
      </c>
      <c r="M6" s="3">
        <v>347281</v>
      </c>
      <c r="N6" s="3">
        <v>436665</v>
      </c>
    </row>
    <row r="7" spans="1:14" ht="22.5" customHeight="1" x14ac:dyDescent="0.25">
      <c r="A7" s="37"/>
      <c r="B7" s="12" t="s">
        <v>16</v>
      </c>
      <c r="C7" s="3">
        <v>13113</v>
      </c>
      <c r="D7" s="3">
        <v>11994</v>
      </c>
      <c r="E7" s="3">
        <v>9773</v>
      </c>
      <c r="F7" s="3">
        <v>6031</v>
      </c>
      <c r="G7" s="3">
        <v>83622</v>
      </c>
      <c r="H7" s="3">
        <v>6471</v>
      </c>
      <c r="I7" s="3">
        <v>50625</v>
      </c>
      <c r="J7" s="3">
        <v>80353</v>
      </c>
      <c r="K7" s="3">
        <v>6331</v>
      </c>
      <c r="L7" s="3">
        <v>7322</v>
      </c>
      <c r="M7" s="3">
        <v>6817</v>
      </c>
      <c r="N7" s="3">
        <v>7323</v>
      </c>
    </row>
    <row r="8" spans="1:14" ht="22.5" customHeight="1" x14ac:dyDescent="0.25">
      <c r="A8" s="37"/>
      <c r="B8" s="12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8" t="s">
        <v>20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4" ht="22.5" customHeight="1" x14ac:dyDescent="0.25">
      <c r="A10" s="4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45.75" customHeight="1" x14ac:dyDescent="0.25">
      <c r="A11" s="43" t="s">
        <v>25</v>
      </c>
      <c r="B11" s="12" t="s">
        <v>16</v>
      </c>
      <c r="C11" s="11">
        <v>98611</v>
      </c>
      <c r="D11" s="11">
        <v>102482</v>
      </c>
      <c r="E11" s="11">
        <v>82099</v>
      </c>
      <c r="F11" s="11">
        <v>87271</v>
      </c>
      <c r="G11" s="3">
        <v>95644</v>
      </c>
      <c r="H11" s="3">
        <v>78931</v>
      </c>
      <c r="I11" s="3">
        <v>61621</v>
      </c>
      <c r="J11" s="3">
        <v>56390</v>
      </c>
      <c r="K11" s="3">
        <v>71929</v>
      </c>
      <c r="L11" s="3">
        <v>70041</v>
      </c>
      <c r="M11" s="11">
        <v>94885</v>
      </c>
      <c r="N11" s="11">
        <v>94478</v>
      </c>
    </row>
    <row r="12" spans="1:14" ht="45.75" customHeight="1" x14ac:dyDescent="0.25">
      <c r="A12" s="43"/>
      <c r="B12" s="12" t="s">
        <v>17</v>
      </c>
      <c r="C12" s="11">
        <v>2809</v>
      </c>
      <c r="D12" s="11">
        <v>2693</v>
      </c>
      <c r="E12" s="11">
        <v>2592</v>
      </c>
      <c r="F12" s="11">
        <v>2574</v>
      </c>
      <c r="G12" s="3">
        <v>3399</v>
      </c>
      <c r="H12" s="3">
        <v>3189</v>
      </c>
      <c r="I12" s="3">
        <v>2978</v>
      </c>
      <c r="J12" s="3">
        <v>2993</v>
      </c>
      <c r="K12" s="3">
        <v>4132</v>
      </c>
      <c r="L12" s="3">
        <v>4159</v>
      </c>
      <c r="M12" s="11">
        <v>3367</v>
      </c>
      <c r="N12" s="11">
        <v>2923</v>
      </c>
    </row>
    <row r="13" spans="1:14" ht="22.5" customHeight="1" x14ac:dyDescent="0.25">
      <c r="A13" s="41" t="s">
        <v>18</v>
      </c>
      <c r="B13" s="42"/>
      <c r="C13" s="9">
        <f>SUM(C5:C8,C10,C11:C12)</f>
        <v>25803071</v>
      </c>
      <c r="D13" s="9">
        <f t="shared" ref="D13:N13" si="0">SUM(D5:D8,D10,D11:D12)</f>
        <v>23499323</v>
      </c>
      <c r="E13" s="9">
        <f t="shared" si="0"/>
        <v>26329575</v>
      </c>
      <c r="F13" s="9">
        <f t="shared" si="0"/>
        <v>24269577</v>
      </c>
      <c r="G13" s="9">
        <f t="shared" ref="G13" si="1">SUM(G5:G8,G10,G11:G12)</f>
        <v>22786490</v>
      </c>
      <c r="H13" s="9">
        <f t="shared" si="0"/>
        <v>21488460</v>
      </c>
      <c r="I13" s="9">
        <f t="shared" ref="I13" si="2">SUM(I5:I8,I10,I11:I12)</f>
        <v>23245569</v>
      </c>
      <c r="J13" s="9">
        <f>SUM(J5:J8,J10,J11:J12)</f>
        <v>24217370</v>
      </c>
      <c r="K13" s="9">
        <f t="shared" si="0"/>
        <v>23639271</v>
      </c>
      <c r="L13" s="9">
        <f>SUM(L5:L8,L10,L11:L12)</f>
        <v>26552580</v>
      </c>
      <c r="M13" s="9">
        <f t="shared" si="0"/>
        <v>27595467</v>
      </c>
      <c r="N13" s="9">
        <f t="shared" si="0"/>
        <v>30201576</v>
      </c>
    </row>
  </sheetData>
  <mergeCells count="6">
    <mergeCell ref="A13:B13"/>
    <mergeCell ref="A2:N2"/>
    <mergeCell ref="A4:A10"/>
    <mergeCell ref="B4:N4"/>
    <mergeCell ref="B9:N9"/>
    <mergeCell ref="A11: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view="pageBreakPreview" topLeftCell="D7" zoomScale="98" zoomScaleNormal="70" zoomScaleSheetLayoutView="98" workbookViewId="0">
      <selection activeCell="L25" sqref="L2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6" t="s">
        <v>26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22.5" customHeight="1" x14ac:dyDescent="0.25">
      <c r="A5" s="37"/>
      <c r="B5" s="13" t="s">
        <v>14</v>
      </c>
      <c r="C5" s="3">
        <v>30095808</v>
      </c>
      <c r="D5" s="3">
        <v>29420930</v>
      </c>
      <c r="E5" s="3">
        <v>29137417</v>
      </c>
      <c r="F5" s="3">
        <v>25812276</v>
      </c>
      <c r="G5" s="3">
        <v>26080556</v>
      </c>
      <c r="H5" s="3">
        <v>26405877</v>
      </c>
      <c r="I5" s="3">
        <f>26037593+29198</f>
        <v>26066791</v>
      </c>
      <c r="J5" s="3">
        <v>25983335</v>
      </c>
      <c r="K5" s="3">
        <v>24822331</v>
      </c>
      <c r="L5" s="3">
        <v>26922972</v>
      </c>
      <c r="M5" s="3">
        <v>29271140</v>
      </c>
      <c r="N5" s="3">
        <v>31772359</v>
      </c>
    </row>
    <row r="6" spans="1:14" ht="22.5" customHeight="1" x14ac:dyDescent="0.25">
      <c r="A6" s="37"/>
      <c r="B6" s="13" t="s">
        <v>15</v>
      </c>
      <c r="C6" s="3">
        <v>436144</v>
      </c>
      <c r="D6" s="3">
        <v>387598</v>
      </c>
      <c r="E6" s="3">
        <v>429227</v>
      </c>
      <c r="F6" s="3">
        <v>282675</v>
      </c>
      <c r="G6" s="3">
        <v>127384</v>
      </c>
      <c r="H6" s="3">
        <v>116350</v>
      </c>
      <c r="I6" s="3">
        <v>138324</v>
      </c>
      <c r="J6" s="3">
        <v>118499</v>
      </c>
      <c r="K6" s="3">
        <v>128222</v>
      </c>
      <c r="L6" s="3">
        <v>226970</v>
      </c>
      <c r="M6" s="3">
        <v>303412</v>
      </c>
      <c r="N6" s="3">
        <v>360396</v>
      </c>
    </row>
    <row r="7" spans="1:14" ht="22.5" customHeight="1" x14ac:dyDescent="0.25">
      <c r="A7" s="37"/>
      <c r="B7" s="13" t="s">
        <v>16</v>
      </c>
      <c r="C7" s="3">
        <v>7306</v>
      </c>
      <c r="D7" s="3">
        <v>6829</v>
      </c>
      <c r="E7" s="3">
        <v>7294</v>
      </c>
      <c r="F7" s="3">
        <v>6613</v>
      </c>
      <c r="G7" s="3">
        <v>7892</v>
      </c>
      <c r="H7" s="3">
        <v>30751</v>
      </c>
      <c r="I7" s="3">
        <v>6694</v>
      </c>
      <c r="J7" s="3">
        <v>32877</v>
      </c>
      <c r="K7" s="3">
        <v>6561</v>
      </c>
      <c r="L7" s="3">
        <v>6664</v>
      </c>
      <c r="M7" s="3">
        <v>7055</v>
      </c>
      <c r="N7" s="3">
        <v>7453</v>
      </c>
    </row>
    <row r="8" spans="1:14" ht="22.5" customHeight="1" x14ac:dyDescent="0.25">
      <c r="A8" s="37"/>
      <c r="B8" s="13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/>
      <c r="B9" s="38" t="s">
        <v>20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4" ht="22.5" customHeight="1" x14ac:dyDescent="0.25">
      <c r="A10" s="4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45.75" customHeight="1" x14ac:dyDescent="0.25">
      <c r="A11" s="43" t="s">
        <v>25</v>
      </c>
      <c r="B11" s="13" t="s">
        <v>16</v>
      </c>
      <c r="C11" s="11">
        <v>92603</v>
      </c>
      <c r="D11" s="11">
        <v>118511</v>
      </c>
      <c r="E11" s="11">
        <v>96856</v>
      </c>
      <c r="F11" s="11">
        <v>82126</v>
      </c>
      <c r="G11" s="3">
        <v>57773</v>
      </c>
      <c r="H11" s="3">
        <v>55233</v>
      </c>
      <c r="I11" s="3">
        <v>49031</v>
      </c>
      <c r="J11" s="3">
        <v>47509</v>
      </c>
      <c r="K11" s="3">
        <v>44459</v>
      </c>
      <c r="L11" s="3">
        <v>59976</v>
      </c>
      <c r="M11" s="3">
        <v>100648</v>
      </c>
      <c r="N11" s="3">
        <v>93656</v>
      </c>
    </row>
    <row r="12" spans="1:14" ht="45.75" customHeight="1" x14ac:dyDescent="0.25">
      <c r="A12" s="43"/>
      <c r="B12" s="13" t="s">
        <v>17</v>
      </c>
      <c r="C12" s="11">
        <v>3429</v>
      </c>
      <c r="D12" s="11">
        <v>3460</v>
      </c>
      <c r="E12" s="11">
        <v>3525</v>
      </c>
      <c r="F12" s="11">
        <v>2943</v>
      </c>
      <c r="G12" s="3">
        <v>3057</v>
      </c>
      <c r="H12" s="3">
        <v>6056</v>
      </c>
      <c r="I12" s="3">
        <v>6587</v>
      </c>
      <c r="J12" s="3">
        <v>5196</v>
      </c>
      <c r="K12" s="3">
        <v>3440</v>
      </c>
      <c r="L12" s="3">
        <v>4734</v>
      </c>
      <c r="M12" s="3">
        <v>3992</v>
      </c>
      <c r="N12" s="3">
        <v>4089</v>
      </c>
    </row>
    <row r="13" spans="1:14" ht="22.5" customHeight="1" x14ac:dyDescent="0.25">
      <c r="A13" s="41" t="s">
        <v>18</v>
      </c>
      <c r="B13" s="42"/>
      <c r="C13" s="9">
        <f>SUM(C5:C8,C10,C11:C12)</f>
        <v>30635290</v>
      </c>
      <c r="D13" s="9">
        <f t="shared" ref="D13:N13" si="0">SUM(D5:D8,D10,D11:D12)</f>
        <v>29937328</v>
      </c>
      <c r="E13" s="9">
        <f t="shared" si="0"/>
        <v>29674319</v>
      </c>
      <c r="F13" s="9">
        <f t="shared" si="0"/>
        <v>26186633</v>
      </c>
      <c r="G13" s="9">
        <f t="shared" si="0"/>
        <v>26276662</v>
      </c>
      <c r="H13" s="9">
        <f t="shared" si="0"/>
        <v>26614267</v>
      </c>
      <c r="I13" s="9">
        <f t="shared" si="0"/>
        <v>26267427</v>
      </c>
      <c r="J13" s="9">
        <f>SUM(J5:J8,J10,J11:J12)</f>
        <v>26187416</v>
      </c>
      <c r="K13" s="9">
        <f t="shared" si="0"/>
        <v>25005013</v>
      </c>
      <c r="L13" s="9">
        <f>SUM(L5:L8,L10,L11:L12)</f>
        <v>27221316</v>
      </c>
      <c r="M13" s="9">
        <f t="shared" si="0"/>
        <v>29686247</v>
      </c>
      <c r="N13" s="9">
        <f t="shared" si="0"/>
        <v>32237953</v>
      </c>
    </row>
  </sheetData>
  <mergeCells count="6">
    <mergeCell ref="A13:B13"/>
    <mergeCell ref="A2:N2"/>
    <mergeCell ref="A4:A10"/>
    <mergeCell ref="B4:N4"/>
    <mergeCell ref="B9:N9"/>
    <mergeCell ref="A11:A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zoomScale="55" zoomScaleNormal="55" zoomScaleSheetLayoutView="75" workbookViewId="0">
      <selection activeCell="L25" sqref="L2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1" style="1" customWidth="1"/>
    <col min="15" max="15" width="9.140625" style="17"/>
    <col min="16" max="16" width="9.140625" style="1"/>
    <col min="17" max="17" width="10.7109375" style="17" bestFit="1" customWidth="1"/>
    <col min="18" max="16384" width="9.140625" style="1"/>
  </cols>
  <sheetData>
    <row r="2" spans="1:17" ht="42.75" customHeight="1" x14ac:dyDescent="0.25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8"/>
      <c r="Q3" s="18"/>
    </row>
    <row r="4" spans="1:17" ht="22.5" customHeight="1" x14ac:dyDescent="0.25">
      <c r="A4" s="36" t="s">
        <v>26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7" ht="22.5" customHeight="1" x14ac:dyDescent="0.25">
      <c r="A5" s="37"/>
      <c r="B5" s="14" t="s">
        <v>14</v>
      </c>
      <c r="C5" s="3">
        <v>28877148</v>
      </c>
      <c r="D5" s="3">
        <v>24929675</v>
      </c>
      <c r="E5" s="3">
        <v>29976677</v>
      </c>
      <c r="F5" s="3">
        <v>23113901</v>
      </c>
      <c r="G5" s="3">
        <v>23880701</v>
      </c>
      <c r="H5" s="3">
        <v>25496561</v>
      </c>
      <c r="I5" s="3">
        <v>27810724</v>
      </c>
      <c r="J5" s="11">
        <v>27804252</v>
      </c>
      <c r="K5" s="3">
        <v>26793833</v>
      </c>
      <c r="L5" s="3">
        <v>26876610</v>
      </c>
      <c r="M5" s="3">
        <v>29023019</v>
      </c>
      <c r="N5" s="3">
        <v>30837897</v>
      </c>
      <c r="O5" s="17">
        <f>N5/M5</f>
        <v>1.062532364396688</v>
      </c>
      <c r="Q5" s="16">
        <f>AVERAGE(C5:N5)</f>
        <v>27118416.5</v>
      </c>
    </row>
    <row r="6" spans="1:17" ht="22.5" customHeight="1" x14ac:dyDescent="0.25">
      <c r="A6" s="37"/>
      <c r="B6" s="14" t="s">
        <v>15</v>
      </c>
      <c r="C6" s="3">
        <v>387654</v>
      </c>
      <c r="D6" s="3">
        <v>305757</v>
      </c>
      <c r="E6" s="3">
        <v>326415</v>
      </c>
      <c r="F6" s="3">
        <v>188618</v>
      </c>
      <c r="G6" s="3">
        <v>115427</v>
      </c>
      <c r="H6" s="3">
        <v>68161</v>
      </c>
      <c r="I6" s="3">
        <v>94038</v>
      </c>
      <c r="J6" s="11">
        <f>108847+9141</f>
        <v>117988</v>
      </c>
      <c r="K6" s="3">
        <v>131036</v>
      </c>
      <c r="L6" s="3">
        <v>224603</v>
      </c>
      <c r="M6" s="3">
        <v>267397</v>
      </c>
      <c r="N6" s="3">
        <v>334059</v>
      </c>
      <c r="O6" s="17">
        <f t="shared" ref="O6:O7" si="0">N6/M6</f>
        <v>1.249299730363467</v>
      </c>
      <c r="Q6" s="16">
        <f t="shared" ref="Q6:Q12" si="1">AVERAGE(C6:N6)</f>
        <v>213429.41666666666</v>
      </c>
    </row>
    <row r="7" spans="1:17" ht="22.5" customHeight="1" x14ac:dyDescent="0.25">
      <c r="A7" s="37"/>
      <c r="B7" s="14" t="s">
        <v>16</v>
      </c>
      <c r="C7" s="3">
        <v>7327</v>
      </c>
      <c r="D7" s="3">
        <v>6769</v>
      </c>
      <c r="E7" s="3">
        <v>7193</v>
      </c>
      <c r="F7" s="3">
        <v>6855</v>
      </c>
      <c r="G7" s="3">
        <v>6795</v>
      </c>
      <c r="H7" s="3">
        <v>7692</v>
      </c>
      <c r="I7" s="3">
        <v>7005</v>
      </c>
      <c r="J7" s="11">
        <v>6535</v>
      </c>
      <c r="K7" s="3">
        <v>6728</v>
      </c>
      <c r="L7" s="3">
        <v>6703</v>
      </c>
      <c r="M7" s="3">
        <v>6787</v>
      </c>
      <c r="N7" s="3">
        <v>7158</v>
      </c>
      <c r="O7" s="17">
        <f t="shared" si="0"/>
        <v>1.0546633269485781</v>
      </c>
      <c r="Q7" s="16">
        <f t="shared" si="1"/>
        <v>6962.25</v>
      </c>
    </row>
    <row r="8" spans="1:17" ht="22.5" customHeight="1" x14ac:dyDescent="0.25">
      <c r="A8" s="37"/>
      <c r="B8" s="14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Q8" s="16"/>
    </row>
    <row r="9" spans="1:17" ht="22.5" customHeight="1" x14ac:dyDescent="0.25">
      <c r="A9" s="37"/>
      <c r="B9" s="38" t="s">
        <v>20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Q9" s="16"/>
    </row>
    <row r="10" spans="1:17" ht="22.5" customHeight="1" x14ac:dyDescent="0.25">
      <c r="A10" s="4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16"/>
    </row>
    <row r="11" spans="1:17" ht="45.75" customHeight="1" x14ac:dyDescent="0.25">
      <c r="A11" s="43" t="s">
        <v>25</v>
      </c>
      <c r="B11" s="14" t="s">
        <v>16</v>
      </c>
      <c r="C11" s="11">
        <v>91415</v>
      </c>
      <c r="D11" s="11">
        <v>95614</v>
      </c>
      <c r="E11" s="11">
        <v>77114</v>
      </c>
      <c r="F11" s="11">
        <v>73415</v>
      </c>
      <c r="G11" s="11">
        <v>50865</v>
      </c>
      <c r="H11" s="3">
        <v>49806</v>
      </c>
      <c r="I11" s="3">
        <v>50189</v>
      </c>
      <c r="J11" s="3">
        <v>51697</v>
      </c>
      <c r="K11" s="3">
        <v>50192</v>
      </c>
      <c r="L11" s="3">
        <v>57311</v>
      </c>
      <c r="M11" s="3">
        <v>66957</v>
      </c>
      <c r="N11" s="3">
        <v>78806</v>
      </c>
      <c r="O11" s="17">
        <f t="shared" ref="O11:O12" si="2">N11/M11</f>
        <v>1.1769643203847244</v>
      </c>
      <c r="Q11" s="16">
        <f t="shared" si="1"/>
        <v>66115.083333333328</v>
      </c>
    </row>
    <row r="12" spans="1:17" ht="45.75" customHeight="1" x14ac:dyDescent="0.25">
      <c r="A12" s="43"/>
      <c r="B12" s="14" t="s">
        <v>17</v>
      </c>
      <c r="C12" s="11">
        <v>5167</v>
      </c>
      <c r="D12" s="11">
        <v>4701</v>
      </c>
      <c r="E12" s="11">
        <v>4745</v>
      </c>
      <c r="F12" s="11">
        <v>4882</v>
      </c>
      <c r="G12" s="11">
        <v>4069</v>
      </c>
      <c r="H12" s="3">
        <v>6127</v>
      </c>
      <c r="I12" s="3">
        <v>4303</v>
      </c>
      <c r="J12" s="3">
        <v>5689</v>
      </c>
      <c r="K12" s="3">
        <v>4341</v>
      </c>
      <c r="L12" s="3">
        <v>4477</v>
      </c>
      <c r="M12" s="3">
        <v>3579</v>
      </c>
      <c r="N12" s="3">
        <v>3250</v>
      </c>
      <c r="O12" s="17">
        <f t="shared" si="2"/>
        <v>0.90807488125174629</v>
      </c>
      <c r="Q12" s="16">
        <f t="shared" si="1"/>
        <v>4610.833333333333</v>
      </c>
    </row>
    <row r="13" spans="1:17" ht="22.5" customHeight="1" x14ac:dyDescent="0.25">
      <c r="A13" s="41" t="s">
        <v>18</v>
      </c>
      <c r="B13" s="42"/>
      <c r="C13" s="9">
        <f>SUM(C5:C8,C10,C11:C12)</f>
        <v>29368711</v>
      </c>
      <c r="D13" s="9">
        <f t="shared" ref="D13:N13" si="3">SUM(D5:D8,D10,D11:D12)</f>
        <v>25342516</v>
      </c>
      <c r="E13" s="9">
        <f t="shared" si="3"/>
        <v>30392144</v>
      </c>
      <c r="F13" s="9">
        <f t="shared" si="3"/>
        <v>23387671</v>
      </c>
      <c r="G13" s="9">
        <f t="shared" si="3"/>
        <v>24057857</v>
      </c>
      <c r="H13" s="9">
        <f>SUM(H5:H8,H10,H11:H12)</f>
        <v>25628347</v>
      </c>
      <c r="I13" s="9">
        <f t="shared" si="3"/>
        <v>27966259</v>
      </c>
      <c r="J13" s="9">
        <f>SUM(J5:J8,J10,J11:J12)</f>
        <v>27986161</v>
      </c>
      <c r="K13" s="9">
        <f t="shared" si="3"/>
        <v>26986130</v>
      </c>
      <c r="L13" s="9">
        <f>SUM(L5:L8,L10,L11:L12)</f>
        <v>27169704</v>
      </c>
      <c r="M13" s="9">
        <f t="shared" si="3"/>
        <v>29367739</v>
      </c>
      <c r="N13" s="9">
        <f t="shared" si="3"/>
        <v>31261170</v>
      </c>
    </row>
  </sheetData>
  <mergeCells count="6">
    <mergeCell ref="A13:B13"/>
    <mergeCell ref="A2:N2"/>
    <mergeCell ref="A4:A10"/>
    <mergeCell ref="B4:N4"/>
    <mergeCell ref="B9:N9"/>
    <mergeCell ref="A11:A12"/>
  </mergeCells>
  <pageMargins left="0.7" right="0.7" top="0.75" bottom="0.75" header="0.3" footer="0.3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"/>
  <sheetViews>
    <sheetView zoomScale="70" zoomScaleNormal="70" zoomScaleSheetLayoutView="75" workbookViewId="0">
      <selection activeCell="W11" sqref="W11:W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1" style="1" customWidth="1"/>
    <col min="7" max="7" width="21" style="1" hidden="1" customWidth="1"/>
    <col min="8" max="8" width="21" style="1" customWidth="1"/>
    <col min="9" max="9" width="21" style="1" hidden="1" customWidth="1"/>
    <col min="10" max="10" width="21" style="1" customWidth="1"/>
    <col min="11" max="11" width="21" style="1" hidden="1" customWidth="1"/>
    <col min="12" max="12" width="21" style="1" customWidth="1"/>
    <col min="13" max="13" width="21" style="1" hidden="1" customWidth="1"/>
    <col min="14" max="14" width="21" style="1" customWidth="1"/>
    <col min="15" max="15" width="21" style="1" hidden="1" customWidth="1"/>
    <col min="16" max="16" width="21" style="1" customWidth="1"/>
    <col min="17" max="17" width="21" style="1" hidden="1" customWidth="1"/>
    <col min="18" max="18" width="21" style="1" customWidth="1"/>
    <col min="19" max="19" width="21" style="1" hidden="1" customWidth="1"/>
    <col min="20" max="20" width="21" style="1" customWidth="1"/>
    <col min="21" max="21" width="21" style="1" hidden="1" customWidth="1"/>
    <col min="22" max="22" width="21" style="1" customWidth="1"/>
    <col min="23" max="23" width="9.140625" style="17"/>
    <col min="24" max="16384" width="9.140625" style="1"/>
  </cols>
  <sheetData>
    <row r="2" spans="1:23" ht="42.75" customHeight="1" x14ac:dyDescent="0.25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8"/>
    </row>
    <row r="4" spans="1:23" ht="22.5" customHeight="1" x14ac:dyDescent="0.25">
      <c r="A4" s="36" t="s">
        <v>33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40"/>
    </row>
    <row r="5" spans="1:23" ht="22.5" customHeight="1" x14ac:dyDescent="0.25">
      <c r="A5" s="37"/>
      <c r="B5" s="15" t="s">
        <v>14</v>
      </c>
      <c r="C5" s="3">
        <v>30899879</v>
      </c>
      <c r="D5" s="3">
        <v>31156874</v>
      </c>
      <c r="E5" s="3">
        <v>25055857</v>
      </c>
      <c r="F5" s="3">
        <v>20805372</v>
      </c>
      <c r="G5" s="3">
        <v>1.0331748414082071</v>
      </c>
      <c r="H5" s="3">
        <v>20206246</v>
      </c>
      <c r="I5" s="3">
        <f>H5/F5</f>
        <v>0.9712033026854795</v>
      </c>
      <c r="J5" s="3">
        <v>19860187</v>
      </c>
      <c r="K5" s="3">
        <v>1.0907637308419751</v>
      </c>
      <c r="L5" s="3">
        <v>20271034</v>
      </c>
      <c r="M5" s="3">
        <v>0.99976728401605075</v>
      </c>
      <c r="N5" s="11">
        <v>22906098</v>
      </c>
      <c r="O5" s="11">
        <v>0.96365955106434797</v>
      </c>
      <c r="P5" s="3">
        <v>22704638</v>
      </c>
      <c r="Q5" s="3">
        <v>1.0030894049388155</v>
      </c>
      <c r="R5" s="3">
        <v>23024872</v>
      </c>
      <c r="S5" s="3">
        <v>1.0798615971285068</v>
      </c>
      <c r="T5" s="3">
        <v>26666268</v>
      </c>
      <c r="U5" s="3">
        <v>1.062532364396688</v>
      </c>
      <c r="V5" s="3">
        <v>26656479</v>
      </c>
      <c r="W5" s="17">
        <f>'2021'!C5/'2020'!V5</f>
        <v>0.97946067820885119</v>
      </c>
    </row>
    <row r="6" spans="1:23" ht="22.5" customHeight="1" x14ac:dyDescent="0.25">
      <c r="A6" s="37"/>
      <c r="B6" s="15" t="s">
        <v>15</v>
      </c>
      <c r="C6" s="3">
        <v>329112</v>
      </c>
      <c r="D6" s="3">
        <v>97444</v>
      </c>
      <c r="E6" s="3">
        <v>273385</v>
      </c>
      <c r="F6" s="3">
        <v>220026</v>
      </c>
      <c r="G6" s="3">
        <v>0.6119617427817069</v>
      </c>
      <c r="H6" s="3">
        <v>149652</v>
      </c>
      <c r="I6" s="3">
        <v>0.59051175201642592</v>
      </c>
      <c r="J6" s="3">
        <v>87381</v>
      </c>
      <c r="K6" s="3">
        <v>1.379645251683514</v>
      </c>
      <c r="L6" s="3">
        <v>123295</v>
      </c>
      <c r="M6" s="3">
        <v>1.2546842765690465</v>
      </c>
      <c r="N6" s="11">
        <v>124972</v>
      </c>
      <c r="O6" s="11">
        <v>1.1105875173746482</v>
      </c>
      <c r="P6" s="3">
        <v>130713</v>
      </c>
      <c r="Q6" s="3">
        <v>1.7140556793552917</v>
      </c>
      <c r="R6" s="3">
        <v>199581</v>
      </c>
      <c r="S6" s="3">
        <v>1.1905317382225526</v>
      </c>
      <c r="T6" s="3">
        <v>263420</v>
      </c>
      <c r="U6" s="3">
        <v>1.249299730363467</v>
      </c>
      <c r="V6" s="3">
        <v>380233</v>
      </c>
      <c r="W6" s="17">
        <f>'2021'!C6/'2020'!V6</f>
        <v>0.99970018383464876</v>
      </c>
    </row>
    <row r="7" spans="1:23" ht="22.5" customHeight="1" x14ac:dyDescent="0.25">
      <c r="A7" s="37"/>
      <c r="B7" s="15" t="s">
        <v>16</v>
      </c>
      <c r="C7" s="3">
        <v>7289</v>
      </c>
      <c r="D7" s="3">
        <v>6916</v>
      </c>
      <c r="E7" s="3">
        <v>6985</v>
      </c>
      <c r="F7" s="3">
        <v>6877</v>
      </c>
      <c r="G7" s="3">
        <v>0.99124726477024072</v>
      </c>
      <c r="H7" s="3">
        <v>6788</v>
      </c>
      <c r="I7" s="3">
        <v>1.132008830022075</v>
      </c>
      <c r="J7" s="3">
        <v>12043</v>
      </c>
      <c r="K7" s="3">
        <v>0.91068642745709827</v>
      </c>
      <c r="L7" s="3">
        <v>7079</v>
      </c>
      <c r="M7" s="3">
        <v>0.93290506780870808</v>
      </c>
      <c r="N7" s="11">
        <v>6976</v>
      </c>
      <c r="O7" s="11">
        <v>1.0295332823259373</v>
      </c>
      <c r="P7" s="3">
        <v>6842</v>
      </c>
      <c r="Q7" s="3">
        <v>0.99628418549346021</v>
      </c>
      <c r="R7" s="3">
        <v>6841</v>
      </c>
      <c r="S7" s="3">
        <v>1.0125317022228852</v>
      </c>
      <c r="T7" s="3">
        <v>13790</v>
      </c>
      <c r="U7" s="3">
        <v>1.0546633269485781</v>
      </c>
      <c r="V7" s="3">
        <v>20324</v>
      </c>
      <c r="W7" s="17">
        <f>'2021'!C7/'2020'!V7</f>
        <v>0.99842550679000197</v>
      </c>
    </row>
    <row r="8" spans="1:23" ht="22.5" customHeight="1" x14ac:dyDescent="0.25">
      <c r="A8" s="37"/>
      <c r="B8" s="1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3" ht="22.5" customHeight="1" x14ac:dyDescent="0.25">
      <c r="A9" s="37"/>
      <c r="B9" s="38" t="s">
        <v>20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</row>
    <row r="10" spans="1:23" ht="22.5" customHeight="1" x14ac:dyDescent="0.25">
      <c r="A10" s="4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45.75" customHeight="1" x14ac:dyDescent="0.25">
      <c r="A11" s="43" t="s">
        <v>32</v>
      </c>
      <c r="B11" s="15" t="s">
        <v>16</v>
      </c>
      <c r="C11" s="11">
        <v>71547</v>
      </c>
      <c r="D11" s="11">
        <v>81716</v>
      </c>
      <c r="E11" s="11">
        <v>65027</v>
      </c>
      <c r="F11" s="11">
        <v>59787</v>
      </c>
      <c r="G11" s="11">
        <v>0.69284206224885925</v>
      </c>
      <c r="H11" s="11">
        <v>47672</v>
      </c>
      <c r="I11" s="11">
        <v>0.97918018283692121</v>
      </c>
      <c r="J11" s="3">
        <v>37417</v>
      </c>
      <c r="K11" s="3">
        <v>1.0076898365658755</v>
      </c>
      <c r="L11" s="3">
        <v>39014</v>
      </c>
      <c r="M11" s="3">
        <v>1.030046424515332</v>
      </c>
      <c r="N11" s="3">
        <v>42800</v>
      </c>
      <c r="O11" s="3">
        <v>0.97088805926842947</v>
      </c>
      <c r="P11" s="3">
        <v>41055</v>
      </c>
      <c r="Q11" s="3">
        <v>1.1418353522473701</v>
      </c>
      <c r="R11" s="3">
        <v>58176</v>
      </c>
      <c r="S11" s="3">
        <v>1.1683097485648479</v>
      </c>
      <c r="T11" s="3">
        <v>63821</v>
      </c>
      <c r="U11" s="3">
        <v>1.1769643203847244</v>
      </c>
      <c r="V11" s="3">
        <v>69322</v>
      </c>
      <c r="W11" s="17">
        <f>'2021'!C11/'2020'!V11</f>
        <v>1.0199936528086322</v>
      </c>
    </row>
    <row r="12" spans="1:23" ht="45.75" customHeight="1" x14ac:dyDescent="0.25">
      <c r="A12" s="43"/>
      <c r="B12" s="15" t="s">
        <v>17</v>
      </c>
      <c r="C12" s="11">
        <v>3584</v>
      </c>
      <c r="D12" s="11">
        <v>3682</v>
      </c>
      <c r="E12" s="11">
        <v>3753</v>
      </c>
      <c r="F12" s="11">
        <v>2561</v>
      </c>
      <c r="G12" s="11">
        <v>0.83346988938959443</v>
      </c>
      <c r="H12" s="11">
        <v>1782</v>
      </c>
      <c r="I12" s="11">
        <v>1.5057753747849594</v>
      </c>
      <c r="J12" s="3">
        <v>2268</v>
      </c>
      <c r="K12" s="3">
        <v>0.702301289374898</v>
      </c>
      <c r="L12" s="3">
        <v>3575</v>
      </c>
      <c r="M12" s="3">
        <v>1.3221008598652104</v>
      </c>
      <c r="N12" s="3">
        <v>4480</v>
      </c>
      <c r="O12" s="3">
        <v>0.76305150290033397</v>
      </c>
      <c r="P12" s="3">
        <v>4471</v>
      </c>
      <c r="Q12" s="3">
        <v>1.0313291868233125</v>
      </c>
      <c r="R12" s="3">
        <v>2821</v>
      </c>
      <c r="S12" s="3">
        <v>0.79941925396470848</v>
      </c>
      <c r="T12" s="3">
        <v>2579</v>
      </c>
      <c r="U12" s="3">
        <v>0.90807488125174629</v>
      </c>
      <c r="V12" s="3">
        <v>3122</v>
      </c>
      <c r="W12" s="17">
        <f>'2021'!C12/'2020'!V12</f>
        <v>1.2226137091607943</v>
      </c>
    </row>
    <row r="13" spans="1:23" ht="22.5" customHeight="1" x14ac:dyDescent="0.25">
      <c r="A13" s="41" t="s">
        <v>18</v>
      </c>
      <c r="B13" s="42"/>
      <c r="C13" s="9">
        <f>SUM(C5:C8,C10,C11:C12)</f>
        <v>31311411</v>
      </c>
      <c r="D13" s="9">
        <f t="shared" ref="D13:V13" si="0">SUM(D5:D8,D10,D11:D12)</f>
        <v>31346632</v>
      </c>
      <c r="E13" s="9">
        <f t="shared" si="0"/>
        <v>25405007</v>
      </c>
      <c r="F13" s="9">
        <f t="shared" si="0"/>
        <v>21094623</v>
      </c>
      <c r="G13" s="9"/>
      <c r="H13" s="9">
        <f t="shared" si="0"/>
        <v>20412140</v>
      </c>
      <c r="I13" s="9"/>
      <c r="J13" s="9">
        <f>SUM(J5:J8,J10,J11:J12)</f>
        <v>19999296</v>
      </c>
      <c r="K13" s="9"/>
      <c r="L13" s="9">
        <f t="shared" si="0"/>
        <v>20443997</v>
      </c>
      <c r="M13" s="9"/>
      <c r="N13" s="9">
        <f>SUM(N5:N8,N10,N11:N12)</f>
        <v>23085326</v>
      </c>
      <c r="O13" s="9"/>
      <c r="P13" s="9">
        <f t="shared" si="0"/>
        <v>22887719</v>
      </c>
      <c r="Q13" s="9"/>
      <c r="R13" s="9">
        <f>SUM(R5:R8,R10,R11:R12)</f>
        <v>23292291</v>
      </c>
      <c r="S13" s="9"/>
      <c r="T13" s="9">
        <f t="shared" si="0"/>
        <v>27009878</v>
      </c>
      <c r="U13" s="9"/>
      <c r="V13" s="9">
        <f t="shared" si="0"/>
        <v>27129480</v>
      </c>
    </row>
  </sheetData>
  <mergeCells count="6">
    <mergeCell ref="A13:B13"/>
    <mergeCell ref="A2:V2"/>
    <mergeCell ref="A4:A10"/>
    <mergeCell ref="B4:V4"/>
    <mergeCell ref="B9:V9"/>
    <mergeCell ref="A11:A12"/>
  </mergeCells>
  <pageMargins left="0.7" right="0.7" top="0.75" bottom="0.75" header="0.3" footer="0.3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4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H11" sqref="AH11:AH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21" style="1" customWidth="1"/>
    <col min="4" max="4" width="21" style="1" hidden="1" customWidth="1"/>
    <col min="5" max="5" width="21" style="1" customWidth="1"/>
    <col min="6" max="6" width="21" style="1" hidden="1" customWidth="1"/>
    <col min="7" max="7" width="21" style="1" customWidth="1"/>
    <col min="8" max="8" width="21" style="1" hidden="1" customWidth="1"/>
    <col min="9" max="9" width="21" style="1" customWidth="1"/>
    <col min="10" max="11" width="21" style="1" hidden="1" customWidth="1"/>
    <col min="12" max="12" width="21" style="1" customWidth="1"/>
    <col min="13" max="14" width="21" style="1" hidden="1" customWidth="1"/>
    <col min="15" max="15" width="21" style="1" customWidth="1"/>
    <col min="16" max="17" width="21" style="1" hidden="1" customWidth="1"/>
    <col min="18" max="18" width="21" style="1" customWidth="1"/>
    <col min="19" max="20" width="21" style="1" hidden="1" customWidth="1"/>
    <col min="21" max="21" width="21" style="1" customWidth="1"/>
    <col min="22" max="23" width="21" style="1" hidden="1" customWidth="1"/>
    <col min="24" max="24" width="21" style="1" customWidth="1"/>
    <col min="25" max="26" width="21" style="1" hidden="1" customWidth="1"/>
    <col min="27" max="27" width="21" style="1" customWidth="1"/>
    <col min="28" max="29" width="21" style="1" hidden="1" customWidth="1"/>
    <col min="30" max="30" width="21" style="1" customWidth="1"/>
    <col min="31" max="32" width="21" style="1" hidden="1" customWidth="1"/>
    <col min="33" max="33" width="21" style="1" customWidth="1"/>
    <col min="34" max="34" width="9.140625" style="17"/>
    <col min="35" max="16384" width="9.140625" style="1"/>
  </cols>
  <sheetData>
    <row r="2" spans="1:34" ht="42.75" customHeight="1" x14ac:dyDescent="0.25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18"/>
    </row>
    <row r="4" spans="1:34" ht="22.5" customHeight="1" x14ac:dyDescent="0.25">
      <c r="A4" s="36" t="s">
        <v>33</v>
      </c>
      <c r="B4" s="38" t="s">
        <v>19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40"/>
    </row>
    <row r="5" spans="1:34" ht="22.5" customHeight="1" x14ac:dyDescent="0.25">
      <c r="A5" s="37"/>
      <c r="B5" s="20" t="s">
        <v>14</v>
      </c>
      <c r="C5" s="19">
        <v>26108973</v>
      </c>
      <c r="D5" s="19">
        <v>1.0083170228595393</v>
      </c>
      <c r="E5" s="19">
        <v>23598146</v>
      </c>
      <c r="F5" s="19">
        <v>0.80418391780895604</v>
      </c>
      <c r="G5" s="19">
        <v>26755829</v>
      </c>
      <c r="H5" s="19">
        <v>0.83035962409906794</v>
      </c>
      <c r="I5" s="19">
        <v>24782163</v>
      </c>
      <c r="J5" s="19"/>
      <c r="K5" s="19">
        <v>0.9712033026854795</v>
      </c>
      <c r="L5" s="19">
        <f>24041553+1000+5871+15771</f>
        <v>24064195</v>
      </c>
      <c r="M5" s="19"/>
      <c r="N5" s="19">
        <v>0.98287366193601722</v>
      </c>
      <c r="O5" s="19">
        <v>24417572</v>
      </c>
      <c r="P5" s="19"/>
      <c r="Q5" s="19">
        <v>1.0206869653342137</v>
      </c>
      <c r="R5" s="19">
        <f>2367985+12974+5260+23469717</f>
        <v>25855936</v>
      </c>
      <c r="S5" s="19"/>
      <c r="T5" s="19">
        <v>1.1299915929300892</v>
      </c>
      <c r="U5" s="21">
        <f>2004151+13853+5246+24223293</f>
        <v>26246543</v>
      </c>
      <c r="V5" s="21"/>
      <c r="W5" s="21">
        <v>0.99120496210223141</v>
      </c>
      <c r="X5" s="19">
        <v>25893573</v>
      </c>
      <c r="Y5" s="19"/>
      <c r="Z5" s="19">
        <v>1.0141043429100256</v>
      </c>
      <c r="AA5" s="19">
        <v>26660266</v>
      </c>
      <c r="AB5" s="19">
        <f>1521724+'[1]520 дог'!$N$756+'[1]520 дог'!$N$759+[2]свод!$Q$169</f>
        <v>26660266</v>
      </c>
      <c r="AC5" s="19">
        <f>1521724+'[1]520 дог'!$N$756+'[1]520 дог'!$N$759+[2]свод!$Q$169</f>
        <v>26660266</v>
      </c>
      <c r="AD5" s="19">
        <v>28663962</v>
      </c>
      <c r="AE5" s="19"/>
      <c r="AF5" s="19">
        <v>0.99963290701195984</v>
      </c>
      <c r="AG5" s="19">
        <v>30768475</v>
      </c>
      <c r="AH5" s="17">
        <f>'2022'!D5/'2021'!AG5</f>
        <v>1.0132755360803549</v>
      </c>
    </row>
    <row r="6" spans="1:34" ht="22.5" customHeight="1" x14ac:dyDescent="0.25">
      <c r="A6" s="37"/>
      <c r="B6" s="20" t="s">
        <v>15</v>
      </c>
      <c r="C6" s="19">
        <v>380119</v>
      </c>
      <c r="D6" s="19">
        <v>0.29608157709229682</v>
      </c>
      <c r="E6" s="19">
        <v>313957</v>
      </c>
      <c r="F6" s="19">
        <v>2.805560116579779</v>
      </c>
      <c r="G6" s="19">
        <v>260410</v>
      </c>
      <c r="H6" s="19">
        <v>0.80482103992538001</v>
      </c>
      <c r="I6" s="19">
        <v>184826</v>
      </c>
      <c r="J6" s="19"/>
      <c r="K6" s="19">
        <v>0.68015598156581492</v>
      </c>
      <c r="L6" s="19">
        <f>13967+92029</f>
        <v>105996</v>
      </c>
      <c r="M6" s="19"/>
      <c r="N6" s="19">
        <v>0.5838946355544864</v>
      </c>
      <c r="O6" s="19">
        <v>86454</v>
      </c>
      <c r="P6" s="19"/>
      <c r="Q6" s="19">
        <v>1.4110046806514003</v>
      </c>
      <c r="R6" s="19">
        <v>96147</v>
      </c>
      <c r="S6" s="19"/>
      <c r="T6" s="19">
        <v>1.0136015247982482</v>
      </c>
      <c r="U6" s="21">
        <v>107644</v>
      </c>
      <c r="V6" s="21"/>
      <c r="W6" s="21">
        <v>1.0459382901769996</v>
      </c>
      <c r="X6" s="19">
        <v>153690</v>
      </c>
      <c r="Y6" s="19"/>
      <c r="Z6" s="19">
        <v>1.5268641986642491</v>
      </c>
      <c r="AA6" s="19">
        <v>226482</v>
      </c>
      <c r="AB6" s="19">
        <f>'[3]Расчет 4цк'!$H$17*1000</f>
        <v>226482</v>
      </c>
      <c r="AC6" s="19">
        <f>'[3]Расчет 4цк'!$H$17*1000</f>
        <v>226482</v>
      </c>
      <c r="AD6" s="19">
        <v>259759</v>
      </c>
      <c r="AE6" s="19"/>
      <c r="AF6" s="19">
        <v>1.4434477260648395</v>
      </c>
      <c r="AG6" s="19">
        <v>369359</v>
      </c>
      <c r="AH6" s="17">
        <f>'2022'!D6/'2021'!AG6</f>
        <v>1.1585747199878709</v>
      </c>
    </row>
    <row r="7" spans="1:34" ht="22.5" customHeight="1" x14ac:dyDescent="0.25">
      <c r="A7" s="37"/>
      <c r="B7" s="20" t="s">
        <v>16</v>
      </c>
      <c r="C7" s="19">
        <v>20292</v>
      </c>
      <c r="D7" s="19">
        <v>0.94882699958842087</v>
      </c>
      <c r="E7" s="19">
        <v>19104</v>
      </c>
      <c r="F7" s="19">
        <v>1.0099768652400232</v>
      </c>
      <c r="G7" s="19">
        <v>53505</v>
      </c>
      <c r="H7" s="19">
        <v>0.98453829634932</v>
      </c>
      <c r="I7" s="19">
        <v>20456</v>
      </c>
      <c r="J7" s="19"/>
      <c r="K7" s="19">
        <v>0.98705831030972813</v>
      </c>
      <c r="L7" s="19">
        <v>11476</v>
      </c>
      <c r="M7" s="19"/>
      <c r="N7" s="19">
        <v>1.7741602828520919</v>
      </c>
      <c r="O7" s="19">
        <v>10067</v>
      </c>
      <c r="P7" s="19"/>
      <c r="Q7" s="19">
        <v>0.58781034625923778</v>
      </c>
      <c r="R7" s="19">
        <v>9921</v>
      </c>
      <c r="S7" s="19"/>
      <c r="T7" s="19">
        <v>0.9854499223054104</v>
      </c>
      <c r="U7" s="21">
        <v>7436</v>
      </c>
      <c r="V7" s="21"/>
      <c r="W7" s="21">
        <v>0.98079128440366969</v>
      </c>
      <c r="X7" s="19">
        <v>6772</v>
      </c>
      <c r="Y7" s="19"/>
      <c r="Z7" s="19">
        <v>0.99985384390529086</v>
      </c>
      <c r="AA7" s="19">
        <v>9430</v>
      </c>
      <c r="AB7" s="19">
        <f>'[3]Расчет 4цк'!$H$19*1000</f>
        <v>9430</v>
      </c>
      <c r="AC7" s="19">
        <f>'[3]Расчет 4цк'!$H$19*1000</f>
        <v>9430</v>
      </c>
      <c r="AD7" s="19">
        <v>16893</v>
      </c>
      <c r="AE7" s="19"/>
      <c r="AF7" s="19">
        <v>1.473821609862219</v>
      </c>
      <c r="AG7" s="19">
        <v>21234</v>
      </c>
      <c r="AH7" s="17">
        <f>'2022'!D7/'2021'!AG7</f>
        <v>0.98897993783554672</v>
      </c>
    </row>
    <row r="8" spans="1:34" ht="22.5" customHeight="1" x14ac:dyDescent="0.25">
      <c r="A8" s="37"/>
      <c r="B8" s="20" t="s">
        <v>17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22.5" customHeight="1" x14ac:dyDescent="0.25">
      <c r="A9" s="37"/>
      <c r="B9" s="45" t="s">
        <v>20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7"/>
    </row>
    <row r="10" spans="1:34" ht="22.5" customHeight="1" x14ac:dyDescent="0.25">
      <c r="A10" s="44"/>
      <c r="B10" s="22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45.75" customHeight="1" x14ac:dyDescent="0.25">
      <c r="A11" s="43" t="s">
        <v>32</v>
      </c>
      <c r="B11" s="20" t="s">
        <v>16</v>
      </c>
      <c r="C11" s="21">
        <v>70708</v>
      </c>
      <c r="D11" s="21">
        <v>1.1421303478832097</v>
      </c>
      <c r="E11" s="21">
        <v>76222</v>
      </c>
      <c r="F11" s="21">
        <v>0.79576827059572175</v>
      </c>
      <c r="G11" s="21">
        <v>66231</v>
      </c>
      <c r="H11" s="21">
        <v>0.91941808787119195</v>
      </c>
      <c r="I11" s="21">
        <v>59691</v>
      </c>
      <c r="J11" s="21"/>
      <c r="K11" s="21">
        <v>0.79736397544616722</v>
      </c>
      <c r="L11" s="21">
        <v>41395</v>
      </c>
      <c r="M11" s="21"/>
      <c r="N11" s="21">
        <v>0.78488420875985909</v>
      </c>
      <c r="O11" s="19">
        <v>18980</v>
      </c>
      <c r="P11" s="19"/>
      <c r="Q11" s="19">
        <v>1.0426811342437929</v>
      </c>
      <c r="R11" s="19">
        <v>25477</v>
      </c>
      <c r="S11" s="19"/>
      <c r="T11" s="19">
        <v>1.0970420874557851</v>
      </c>
      <c r="U11" s="19">
        <v>29031</v>
      </c>
      <c r="V11" s="19"/>
      <c r="W11" s="19">
        <v>0.95922897196261681</v>
      </c>
      <c r="X11" s="19">
        <v>38812</v>
      </c>
      <c r="Y11" s="19"/>
      <c r="Z11" s="19">
        <v>1.417025940811107</v>
      </c>
      <c r="AA11" s="19">
        <v>44860</v>
      </c>
      <c r="AB11" s="19">
        <f>[4]свод!$M$14</f>
        <v>44860</v>
      </c>
      <c r="AC11" s="19">
        <f>[4]свод!$M$14</f>
        <v>44860</v>
      </c>
      <c r="AD11" s="19">
        <v>54150</v>
      </c>
      <c r="AE11" s="19"/>
      <c r="AF11" s="19">
        <v>1.086194199401451</v>
      </c>
      <c r="AG11" s="19">
        <v>56718</v>
      </c>
      <c r="AH11" s="17">
        <f>'2022'!D11/'2021'!AG11</f>
        <v>1.035597164921189</v>
      </c>
    </row>
    <row r="12" spans="1:34" ht="45.75" customHeight="1" x14ac:dyDescent="0.25">
      <c r="A12" s="43"/>
      <c r="B12" s="20" t="s">
        <v>17</v>
      </c>
      <c r="C12" s="21">
        <v>3817</v>
      </c>
      <c r="D12" s="21">
        <v>1.02734375</v>
      </c>
      <c r="E12" s="21">
        <v>2921</v>
      </c>
      <c r="F12" s="21">
        <v>1.0192829983704508</v>
      </c>
      <c r="G12" s="21">
        <v>3025</v>
      </c>
      <c r="H12" s="21">
        <v>0.68238742339461766</v>
      </c>
      <c r="I12" s="21">
        <v>3081</v>
      </c>
      <c r="J12" s="21"/>
      <c r="K12" s="21">
        <v>0.69582194455290902</v>
      </c>
      <c r="L12" s="21">
        <v>3107</v>
      </c>
      <c r="M12" s="21"/>
      <c r="N12" s="21">
        <v>1.2727272727272727</v>
      </c>
      <c r="O12" s="19">
        <v>4267</v>
      </c>
      <c r="P12" s="19"/>
      <c r="Q12" s="19">
        <v>1.5762786596119929</v>
      </c>
      <c r="R12" s="19">
        <v>5598</v>
      </c>
      <c r="S12" s="19"/>
      <c r="T12" s="19">
        <v>1.2531468531468533</v>
      </c>
      <c r="U12" s="19">
        <v>4486</v>
      </c>
      <c r="V12" s="19"/>
      <c r="W12" s="19">
        <v>0.99799107142857146</v>
      </c>
      <c r="X12" s="19">
        <v>4051</v>
      </c>
      <c r="Y12" s="19"/>
      <c r="Z12" s="19">
        <v>0.63095504361440391</v>
      </c>
      <c r="AA12" s="19">
        <v>3601</v>
      </c>
      <c r="AB12" s="19">
        <f>[4]свод!$M$15</f>
        <v>3601</v>
      </c>
      <c r="AC12" s="19">
        <f>[4]свод!$M$15</f>
        <v>3601</v>
      </c>
      <c r="AD12" s="19">
        <v>3650</v>
      </c>
      <c r="AE12" s="19"/>
      <c r="AF12" s="19">
        <v>1.2105467235362544</v>
      </c>
      <c r="AG12" s="19">
        <v>4479</v>
      </c>
      <c r="AH12" s="17">
        <f>'2022'!D12/'2021'!AG12</f>
        <v>1.1366376423308775</v>
      </c>
    </row>
    <row r="13" spans="1:34" ht="22.5" customHeight="1" x14ac:dyDescent="0.25">
      <c r="A13" s="41" t="s">
        <v>18</v>
      </c>
      <c r="B13" s="42"/>
      <c r="C13" s="9">
        <f>SUM(C5:C8,C10,C11:C12)</f>
        <v>26583909</v>
      </c>
      <c r="D13" s="9"/>
      <c r="E13" s="9">
        <f t="shared" ref="E13:AG13" si="0">SUM(E5:E8,E10,E11:E12)</f>
        <v>24010350</v>
      </c>
      <c r="F13" s="9"/>
      <c r="G13" s="9">
        <f t="shared" si="0"/>
        <v>27139000</v>
      </c>
      <c r="H13" s="9"/>
      <c r="I13" s="9">
        <f t="shared" si="0"/>
        <v>25050217</v>
      </c>
      <c r="J13" s="9"/>
      <c r="K13" s="9"/>
      <c r="L13" s="9">
        <f t="shared" si="0"/>
        <v>24226169</v>
      </c>
      <c r="M13" s="9"/>
      <c r="N13" s="9"/>
      <c r="O13" s="9">
        <f>SUM(O5:O8,O10,O11:O12)</f>
        <v>24537340</v>
      </c>
      <c r="P13" s="9"/>
      <c r="Q13" s="9"/>
      <c r="R13" s="9">
        <f>SUM(R5:R8,R10,R11:R12)</f>
        <v>25993079</v>
      </c>
      <c r="S13" s="9"/>
      <c r="T13" s="9"/>
      <c r="U13" s="9">
        <f>SUM(U5:U8,U10,U11:U12)</f>
        <v>26395140</v>
      </c>
      <c r="V13" s="9"/>
      <c r="W13" s="9"/>
      <c r="X13" s="9">
        <f t="shared" si="0"/>
        <v>26096898</v>
      </c>
      <c r="Y13" s="9"/>
      <c r="Z13" s="9"/>
      <c r="AA13" s="9">
        <f>SUM(AA5:AA8,AA10,AA11:AA12)</f>
        <v>26944639</v>
      </c>
      <c r="AB13" s="9"/>
      <c r="AC13" s="9"/>
      <c r="AD13" s="9">
        <f t="shared" si="0"/>
        <v>28998414</v>
      </c>
      <c r="AE13" s="9"/>
      <c r="AF13" s="9"/>
      <c r="AG13" s="9">
        <f t="shared" si="0"/>
        <v>31220265</v>
      </c>
    </row>
    <row r="14" spans="1:34" ht="22.5" customHeight="1" x14ac:dyDescent="0.25">
      <c r="AG14" s="24"/>
    </row>
  </sheetData>
  <mergeCells count="6">
    <mergeCell ref="A13:B13"/>
    <mergeCell ref="A2:AG2"/>
    <mergeCell ref="A4:A10"/>
    <mergeCell ref="B4:AG4"/>
    <mergeCell ref="B9:AG9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Сафронова Ольга Харитоновна</cp:lastModifiedBy>
  <dcterms:created xsi:type="dcterms:W3CDTF">2013-11-13T16:10:49Z</dcterms:created>
  <dcterms:modified xsi:type="dcterms:W3CDTF">2025-01-20T07:24:44Z</dcterms:modified>
</cp:coreProperties>
</file>