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12BE5177-1443-4981-9C88-BCB7D3A79C72}" xr6:coauthVersionLast="47" xr6:coauthVersionMax="47" xr10:uidLastSave="{00000000-0000-0000-0000-000000000000}"/>
  <bookViews>
    <workbookView xWindow="-120" yWindow="-120" windowWidth="25440" windowHeight="15540" firstSheet="9" activeTab="9" xr2:uid="{00000000-000D-0000-FFFF-FFFF00000000}"/>
  </bookViews>
  <sheets>
    <sheet name="2013" sheetId="5" state="hidden" r:id="rId1"/>
    <sheet name="2014" sheetId="4" state="hidden" r:id="rId2"/>
    <sheet name="2015" sheetId="1" state="hidden" r:id="rId3"/>
    <sheet name="2016" sheetId="2" state="hidden" r:id="rId4"/>
    <sheet name="Лист3" sheetId="3" state="hidden" r:id="rId5"/>
    <sheet name="2017" sheetId="6" state="hidden" r:id="rId6"/>
    <sheet name="2018" sheetId="7" state="hidden" r:id="rId7"/>
    <sheet name="2019" sheetId="8" state="hidden" r:id="rId8"/>
    <sheet name="2020" sheetId="9" state="hidden" r:id="rId9"/>
    <sheet name="2024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3" l="1"/>
  <c r="K11" i="13"/>
  <c r="I11" i="13"/>
  <c r="G11" i="13"/>
  <c r="E11" i="13"/>
  <c r="F11" i="13"/>
  <c r="N11" i="13"/>
  <c r="L11" i="13"/>
  <c r="J11" i="13"/>
  <c r="H11" i="13"/>
  <c r="D11" i="13"/>
  <c r="C11" i="13"/>
  <c r="W8" i="9" l="1"/>
  <c r="W7" i="9"/>
  <c r="V5" i="9" l="1"/>
  <c r="W5" i="9" s="1"/>
  <c r="T5" i="9"/>
  <c r="R5" i="9"/>
  <c r="P5" i="9"/>
  <c r="N5" i="9"/>
  <c r="L5" i="9"/>
  <c r="J5" i="9"/>
  <c r="J11" i="9" s="1"/>
  <c r="H5" i="9"/>
  <c r="F5" i="9"/>
  <c r="E5" i="9"/>
  <c r="E11" i="9" s="1"/>
  <c r="D5" i="9"/>
  <c r="C5" i="9"/>
  <c r="N5" i="8"/>
  <c r="O5" i="8" s="1"/>
  <c r="T11" i="9"/>
  <c r="R11" i="9"/>
  <c r="P11" i="9"/>
  <c r="N11" i="9"/>
  <c r="L11" i="9"/>
  <c r="H11" i="9"/>
  <c r="F11" i="9"/>
  <c r="D11" i="9"/>
  <c r="C11" i="9"/>
  <c r="N8" i="8"/>
  <c r="O8" i="8" s="1"/>
  <c r="N7" i="8"/>
  <c r="O7" i="8" s="1"/>
  <c r="M8" i="8"/>
  <c r="M7" i="8"/>
  <c r="M5" i="8"/>
  <c r="M11" i="8" s="1"/>
  <c r="L8" i="8"/>
  <c r="L7" i="8"/>
  <c r="L5" i="8"/>
  <c r="K5" i="8"/>
  <c r="K11" i="8" s="1"/>
  <c r="K8" i="8"/>
  <c r="K7" i="8"/>
  <c r="J8" i="8"/>
  <c r="Q8" i="8" s="1"/>
  <c r="J7" i="8"/>
  <c r="J5" i="8"/>
  <c r="J11" i="8" s="1"/>
  <c r="I5" i="8"/>
  <c r="I7" i="8"/>
  <c r="I11" i="8" s="1"/>
  <c r="H5" i="8"/>
  <c r="H7" i="8"/>
  <c r="Q7" i="8" s="1"/>
  <c r="G5" i="8"/>
  <c r="F5" i="8"/>
  <c r="E5" i="8"/>
  <c r="D5" i="8"/>
  <c r="C5" i="8"/>
  <c r="Q5" i="8" s="1"/>
  <c r="N11" i="8"/>
  <c r="L11" i="8"/>
  <c r="H11" i="8"/>
  <c r="G11" i="8"/>
  <c r="F11" i="8"/>
  <c r="E11" i="8"/>
  <c r="D11" i="8"/>
  <c r="C11" i="8"/>
  <c r="N11" i="7"/>
  <c r="M11" i="7"/>
  <c r="L11" i="7"/>
  <c r="K11" i="7"/>
  <c r="J11" i="7"/>
  <c r="I11" i="7"/>
  <c r="H11" i="7"/>
  <c r="G11" i="7"/>
  <c r="F11" i="7"/>
  <c r="E11" i="7"/>
  <c r="D11" i="7"/>
  <c r="C11" i="7"/>
  <c r="J11" i="6"/>
  <c r="I11" i="6"/>
  <c r="G11" i="6"/>
  <c r="N11" i="6"/>
  <c r="M11" i="6"/>
  <c r="L11" i="6"/>
  <c r="K11" i="6"/>
  <c r="H11" i="6"/>
  <c r="F11" i="6"/>
  <c r="E11" i="6"/>
  <c r="D11" i="6"/>
  <c r="C11" i="6"/>
  <c r="N11" i="2"/>
  <c r="M11" i="2"/>
  <c r="L11" i="2"/>
  <c r="K11" i="2"/>
  <c r="J11" i="2"/>
  <c r="I11" i="2"/>
  <c r="H11" i="2"/>
  <c r="G11" i="2"/>
  <c r="F11" i="2"/>
  <c r="E11" i="2"/>
  <c r="D11" i="2"/>
  <c r="C11" i="2"/>
  <c r="N11" i="1"/>
  <c r="N12" i="5"/>
  <c r="M12" i="5"/>
  <c r="L12" i="5"/>
  <c r="K12" i="5"/>
  <c r="J12" i="5"/>
  <c r="I12" i="5"/>
  <c r="H12" i="5"/>
  <c r="G12" i="5"/>
  <c r="F12" i="5"/>
  <c r="E12" i="5"/>
  <c r="D12" i="5"/>
  <c r="C12" i="5"/>
  <c r="N11" i="4"/>
  <c r="M11" i="4"/>
  <c r="L11" i="4"/>
  <c r="K11" i="4"/>
  <c r="J11" i="4"/>
  <c r="I11" i="4"/>
  <c r="H11" i="4"/>
  <c r="G11" i="4"/>
  <c r="F11" i="4"/>
  <c r="E11" i="4"/>
  <c r="D11" i="4"/>
  <c r="C11" i="4"/>
  <c r="M11" i="1"/>
  <c r="L11" i="1"/>
  <c r="K11" i="1"/>
  <c r="J11" i="1"/>
  <c r="I11" i="1"/>
  <c r="H11" i="1"/>
  <c r="G11" i="1"/>
  <c r="F11" i="1"/>
  <c r="E11" i="1"/>
  <c r="D11" i="1"/>
  <c r="C11" i="1"/>
  <c r="V11" i="9" l="1"/>
</calcChain>
</file>

<file path=xl/sharedStrings.xml><?xml version="1.0" encoding="utf-8"?>
<sst xmlns="http://schemas.openxmlformats.org/spreadsheetml/2006/main" count="208" uniqueCount="37">
  <si>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</si>
  <si>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</si>
  <si>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</si>
  <si>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</si>
  <si>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</si>
  <si>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</si>
  <si>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</si>
  <si>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</si>
  <si>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</si>
  <si>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</si>
  <si>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</si>
  <si>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</si>
  <si>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</si>
  <si>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</si>
  <si>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Прочие потребители, КВтч</t>
  </si>
  <si>
    <t>ГН</t>
  </si>
  <si>
    <t>ВН</t>
  </si>
  <si>
    <t>СН1</t>
  </si>
  <si>
    <t>СН2</t>
  </si>
  <si>
    <t>НН</t>
  </si>
  <si>
    <t>Население, КВтч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</si>
  <si>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</si>
  <si>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</si>
  <si>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</si>
  <si>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2013 год</t>
  </si>
  <si>
    <t>ОАО "ЭнергоКурган"</t>
  </si>
  <si>
    <t>ОАО "КурганЭнерго"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</si>
  <si>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</si>
  <si>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2017 год</t>
  </si>
  <si>
    <t>ПАО «СУЭНКО»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</si>
  <si>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</si>
  <si>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</si>
  <si>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Курганской области в разрезе ТСО за 2020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</si>
  <si>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</si>
  <si>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</si>
  <si>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Карачаево-Черкесской Республики в разрезе ТСО за 2024 год</t>
  </si>
  <si>
    <t>филиал ПАО "Россети Северный Кавказ" - "Карачаево-Черкесскэнерго"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</si>
</sst>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6" fillId="0" borderId="0" xfId="0" applyNumberFormat="1" applyFont="1"/>
    <xf numFmtId="0" fontId="7" fillId="0" borderId="0" xfId="0" applyFont="1"/>
    <xf numFmtId="0" fontId="6" fillId="0" borderId="0" xfId="0" applyFont="1"/>
    <xf numFmtId="165" fontId="0" fillId="0" borderId="0" xfId="0" applyNumberFormat="1"/>
    <xf numFmtId="4" fontId="4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07/07%202019&#1069;&#1050;&#1042;&#1086;&#1089;&#1090;&#1086;&#1082;%20&#1056;&#1072;&#1073;&#1086;&#1095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08/08%202019&#1069;&#1050;&#1042;&#1086;&#1089;&#1090;&#1086;&#1082;%20&#1056;&#1072;&#1073;&#1086;&#1095;&#1080;&#1081;%20&#1076;&#1083;&#1103;%20&#1087;&#1086;&#1082;&#1091;&#1087;&#1082;&#1080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09/09%202019&#1069;&#1050;&#1042;&#1086;&#1089;&#1090;&#1086;&#1082;%20&#1056;&#1072;&#1073;&#1086;&#1095;&#1080;&#1081;%20&#1076;&#1083;&#1103;%20&#1087;&#1086;&#1082;&#1091;&#1087;&#1082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10/10%202019&#1069;&#1050;&#1042;&#1086;&#1089;&#1090;&#1086;&#1082;%20&#1056;&#1072;&#1073;&#1086;&#1095;&#1080;&#1081;%20&#1076;&#1083;&#1103;%20&#1087;&#1086;&#1082;&#1091;&#1087;&#1082;&#1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11/11%202019&#1069;&#1050;&#1042;&#1086;&#1089;&#1090;&#1086;&#1082;%20&#1056;&#1072;&#1073;&#1086;&#1095;&#1080;&#1081;%20&#1076;&#1083;&#1103;%20&#1087;&#1086;&#1082;&#1091;&#1087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12/12%202019&#1069;&#1050;&#1042;&#1086;&#1089;&#1090;&#1086;&#1082;%20&#1056;&#1072;&#1073;&#1086;&#1095;&#1080;&#1081;%20&#1076;&#1083;&#1103;%20&#1087;&#1086;&#1082;&#1091;&#1087;&#1082;&#108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0;&#1091;&#1088;&#1075;&#1072;&#1085;&#1089;&#1082;&#1072;&#1103;%20&#1086;&#1073;&#1083;&#1072;&#1089;&#1090;&#1100;/06/06%202019&#1069;&#1050;&#1042;&#1086;&#1089;&#1090;&#1086;&#1082;%20&#1056;&#1072;&#1073;&#1086;&#1095;&#1080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6;&#1072;&#1089;&#1095;&#1077;&#1090;&#1099;%202020\&#1091;&#1089;&#1083;&#1091;&#1075;&#108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ИА ДКП"/>
      <sheetName val="расчет потерь"/>
      <sheetName val="Услуги"/>
      <sheetName val="расчет мощн ДКП"/>
      <sheetName val="расчет мощн ДЭ"/>
      <sheetName val="АТС"/>
      <sheetName val="ИА ДЭ"/>
      <sheetName val="расчет ДКП"/>
      <sheetName val="АПП ДКП"/>
      <sheetName val="расчет ДЭ"/>
      <sheetName val="АПП ДЭ"/>
      <sheetName val="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R83">
            <v>2087</v>
          </cell>
        </row>
        <row r="84">
          <cell r="R84">
            <v>16826</v>
          </cell>
        </row>
        <row r="85">
          <cell r="R85">
            <v>41962.644</v>
          </cell>
        </row>
        <row r="86">
          <cell r="R86">
            <v>30394.297999999999</v>
          </cell>
        </row>
      </sheetData>
      <sheetData sheetId="9"/>
      <sheetData sheetId="10"/>
      <sheetData sheetId="11"/>
      <sheetData sheetId="12"/>
      <sheetData sheetId="13">
        <row r="16">
          <cell r="C16">
            <v>70812127.057999998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ИА ДКП"/>
      <sheetName val="ИА ДЭ"/>
      <sheetName val="расчет потерь"/>
      <sheetName val="Услуги"/>
      <sheetName val="расчет мощн ДКП"/>
      <sheetName val="расчет мощн ДЭ"/>
      <sheetName val="АТС"/>
      <sheetName val="расчет ДКП"/>
      <sheetName val="расчет ДЭ"/>
      <sheetName val="АПП ДКП"/>
      <sheetName val="АПП ДЭ"/>
      <sheetName val="Баланс"/>
    </sheetNames>
    <sheetDataSet>
      <sheetData sheetId="0"/>
      <sheetData sheetId="1"/>
      <sheetData sheetId="2"/>
      <sheetData sheetId="3">
        <row r="82">
          <cell r="R82">
            <v>53852</v>
          </cell>
        </row>
        <row r="83">
          <cell r="R83">
            <v>19272</v>
          </cell>
        </row>
        <row r="84">
          <cell r="R84">
            <v>46637.805</v>
          </cell>
        </row>
        <row r="85">
          <cell r="R85">
            <v>25003.95</v>
          </cell>
        </row>
        <row r="86">
          <cell r="R86">
            <v>3459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C16">
            <v>74814820.245000005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ИА ДКП"/>
      <sheetName val="ИА ДЭ"/>
      <sheetName val="расчет потерь"/>
      <sheetName val="Услуги"/>
      <sheetName val="расчет мощн ДКП"/>
      <sheetName val="расчет мощн ДЭ"/>
      <sheetName val="АТС"/>
      <sheetName val="расчет ДКП"/>
      <sheetName val="АПП ДКП"/>
      <sheetName val="расчет ДЭ"/>
      <sheetName val="АПП ДЭ"/>
      <sheetName val="Баланс"/>
    </sheetNames>
    <sheetDataSet>
      <sheetData sheetId="0"/>
      <sheetData sheetId="1"/>
      <sheetData sheetId="2"/>
      <sheetData sheetId="3">
        <row r="82">
          <cell r="R82">
            <v>114066</v>
          </cell>
        </row>
        <row r="83">
          <cell r="R83">
            <v>32577</v>
          </cell>
        </row>
        <row r="84">
          <cell r="R84">
            <v>14584.084000000001</v>
          </cell>
        </row>
        <row r="85">
          <cell r="R85">
            <v>41460.502</v>
          </cell>
        </row>
        <row r="86">
          <cell r="R86">
            <v>5571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C16">
            <v>70428154.414000005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Опт Горбуново"/>
      <sheetName val="расчет потерь"/>
      <sheetName val="ИА ДКП"/>
      <sheetName val="ИА ДЭ"/>
      <sheetName val="Услуги"/>
      <sheetName val="Баланс"/>
      <sheetName val="расчет мощн ДКП"/>
      <sheetName val="расчет мощн ДЭ"/>
      <sheetName val="АТС"/>
      <sheetName val="расчет ДКП"/>
      <sheetName val="расчет ДЭ"/>
      <sheetName val="АПП ДКП"/>
      <sheetName val="АПП ДЭ"/>
    </sheetNames>
    <sheetDataSet>
      <sheetData sheetId="0"/>
      <sheetData sheetId="1"/>
      <sheetData sheetId="2"/>
      <sheetData sheetId="3"/>
      <sheetData sheetId="4"/>
      <sheetData sheetId="5">
        <row r="82">
          <cell r="R82">
            <v>86060</v>
          </cell>
        </row>
        <row r="83">
          <cell r="R83">
            <v>49840</v>
          </cell>
        </row>
        <row r="84">
          <cell r="R84">
            <v>15463.132</v>
          </cell>
        </row>
        <row r="85">
          <cell r="R85">
            <v>66311.149999999994</v>
          </cell>
        </row>
        <row r="86">
          <cell r="R86">
            <v>7354</v>
          </cell>
        </row>
      </sheetData>
      <sheetData sheetId="6"/>
      <sheetData sheetId="7">
        <row r="15">
          <cell r="C15">
            <v>79583539.717999995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Опт Горбуново"/>
      <sheetName val="расчет потерь"/>
      <sheetName val="ИА ДКП"/>
      <sheetName val="ИА ДЭ"/>
      <sheetName val="Услуги"/>
      <sheetName val="Баланс"/>
      <sheetName val="расчет мощн ДКП"/>
      <sheetName val="расчет мощн ДЭ"/>
      <sheetName val="АТС"/>
      <sheetName val="расчет ДКП"/>
      <sheetName val="расчет ДЭ"/>
      <sheetName val="АПП ДКП"/>
      <sheetName val="АПП ДЭ"/>
    </sheetNames>
    <sheetDataSet>
      <sheetData sheetId="0"/>
      <sheetData sheetId="1"/>
      <sheetData sheetId="2"/>
      <sheetData sheetId="3"/>
      <sheetData sheetId="4"/>
      <sheetData sheetId="5">
        <row r="82">
          <cell r="R82">
            <v>135677</v>
          </cell>
        </row>
        <row r="83">
          <cell r="R83">
            <v>73447</v>
          </cell>
        </row>
        <row r="84">
          <cell r="R84">
            <v>45834.27</v>
          </cell>
        </row>
        <row r="85">
          <cell r="R85">
            <v>70012.695999999996</v>
          </cell>
        </row>
        <row r="86">
          <cell r="R86">
            <v>9250</v>
          </cell>
        </row>
      </sheetData>
      <sheetData sheetId="6">
        <row r="336">
          <cell r="R336">
            <v>80747600.033999994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Опт Горбуново"/>
      <sheetName val="расчет потерь"/>
      <sheetName val="ИА ДКП"/>
      <sheetName val="ИА ДЭ"/>
      <sheetName val="Услуги"/>
      <sheetName val="Баланс"/>
      <sheetName val="расчет мощн ДКП"/>
      <sheetName val="расчет мощн ДЭ"/>
      <sheetName val="АТС"/>
      <sheetName val="расчет ДКП"/>
      <sheetName val="расчет ДЭ"/>
      <sheetName val="АПП ДКП"/>
      <sheetName val="АПП ДЭ"/>
    </sheetNames>
    <sheetDataSet>
      <sheetData sheetId="0"/>
      <sheetData sheetId="1"/>
      <sheetData sheetId="2"/>
      <sheetData sheetId="3"/>
      <sheetData sheetId="4"/>
      <sheetData sheetId="5">
        <row r="82">
          <cell r="R82">
            <v>210002</v>
          </cell>
        </row>
        <row r="83">
          <cell r="R83">
            <v>86193</v>
          </cell>
        </row>
        <row r="84">
          <cell r="R84">
            <v>12196.53</v>
          </cell>
        </row>
        <row r="85">
          <cell r="R85">
            <v>74781.718999999997</v>
          </cell>
        </row>
        <row r="86">
          <cell r="R86">
            <v>8463</v>
          </cell>
        </row>
      </sheetData>
      <sheetData sheetId="6">
        <row r="336">
          <cell r="R336">
            <v>78932764.751000002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т1"/>
      <sheetName val="Опт2"/>
      <sheetName val="ИА ДКП"/>
      <sheetName val="ИА ДЭ"/>
      <sheetName val="расчет потерь"/>
      <sheetName val="Услуги"/>
      <sheetName val="расчет мощн ДКП"/>
      <sheetName val="расчет мощн ДЭ"/>
      <sheetName val="АТС"/>
      <sheetName val="расчет ДКП"/>
      <sheetName val="АПП ДКП"/>
      <sheetName val="расчет ДЭ"/>
      <sheetName val="АПП ДЭ"/>
      <sheetName val="Баланс"/>
    </sheetNames>
    <sheetDataSet>
      <sheetData sheetId="0"/>
      <sheetData sheetId="1"/>
      <sheetData sheetId="2"/>
      <sheetData sheetId="3">
        <row r="85">
          <cell r="R85">
            <v>48269.785000000003</v>
          </cell>
        </row>
        <row r="86">
          <cell r="R86">
            <v>34688.565999999999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Алтайский край"/>
      <sheetName val="Амурская область"/>
      <sheetName val="Архангельская область"/>
      <sheetName val="Астраханская область"/>
      <sheetName val="Белгородская область"/>
      <sheetName val="Брянская область"/>
      <sheetName val="Владимирская область"/>
      <sheetName val="Волгоградская область"/>
      <sheetName val="Вологодская область"/>
      <sheetName val="Воронежская область"/>
      <sheetName val="ЕАО"/>
      <sheetName val="Забайкальский край"/>
      <sheetName val="Ивановская область"/>
      <sheetName val="Иркутская область"/>
      <sheetName val="КБР"/>
      <sheetName val="Калининградская область"/>
      <sheetName val="Калужская область"/>
      <sheetName val="Кемеровская область"/>
      <sheetName val="Кировская область"/>
      <sheetName val="Костромская область"/>
      <sheetName val="Краснодарский край"/>
      <sheetName val="Красноярский край"/>
      <sheetName val="Курганская область"/>
      <sheetName val="Курская область"/>
      <sheetName val="Ленинградская область"/>
      <sheetName val="Липецкая область"/>
      <sheetName val="Москва"/>
      <sheetName val="Московская область"/>
      <sheetName val="Мурманская область"/>
      <sheetName val="Нижегородская область"/>
      <sheetName val="Новгородская область"/>
      <sheetName val="Новосибирская область"/>
      <sheetName val="Омская область"/>
      <sheetName val="Оренбургская область"/>
      <sheetName val="Орловская область"/>
      <sheetName val="Пензенская область"/>
      <sheetName val="Пермский край"/>
      <sheetName val="Приморский край"/>
      <sheetName val="Псковская область"/>
      <sheetName val="Республика Алтай"/>
      <sheetName val="Республика Башкортостан"/>
      <sheetName val="Республика Бурятия"/>
      <sheetName val="Республика Дагестан"/>
      <sheetName val="Республика Карелия"/>
      <sheetName val="Республика Коми"/>
      <sheetName val="Республика Мордовия"/>
      <sheetName val="Республика Северная Осетия"/>
      <sheetName val="Республика Саха (Якутия)"/>
      <sheetName val="Республика Татарстан"/>
      <sheetName val="Республика Хакасия"/>
      <sheetName val="Ростовская область"/>
      <sheetName val="Рязанская область"/>
      <sheetName val="Самарская область"/>
      <sheetName val="Санкт-Петербург"/>
      <sheetName val="Саратовская область"/>
      <sheetName val="Свердловская область"/>
      <sheetName val="Смоленская область"/>
      <sheetName val="Ставропольский край"/>
      <sheetName val="Тамбовская область"/>
      <sheetName val="Тверская область"/>
      <sheetName val="Томская область"/>
      <sheetName val="Тульская область"/>
      <sheetName val="Тюменская область"/>
      <sheetName val="Удмуртская Республика"/>
      <sheetName val="Ульяновская область"/>
      <sheetName val="Хабаровский край"/>
      <sheetName val="Челябинская область"/>
      <sheetName val="Чувашская Республика"/>
      <sheetName val="Ярославская обла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5">
          <cell r="U25">
            <v>79378455.445999995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workbookViewId="0">
      <selection activeCell="C19" sqref="C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0" t="s">
        <v>25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15" x14ac:dyDescent="0.25">
      <c r="A5" s="21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21"/>
      <c r="B6" s="6" t="s">
        <v>16</v>
      </c>
      <c r="C6" s="7">
        <v>88594048</v>
      </c>
      <c r="D6" s="7">
        <v>59922845</v>
      </c>
      <c r="E6" s="7">
        <v>69563604</v>
      </c>
      <c r="F6" s="7">
        <v>60760139</v>
      </c>
      <c r="G6" s="7">
        <v>60347398</v>
      </c>
      <c r="H6" s="7">
        <v>57857713</v>
      </c>
      <c r="I6" s="7">
        <v>60730757</v>
      </c>
      <c r="J6" s="7">
        <v>64550891</v>
      </c>
      <c r="K6" s="7">
        <v>66758444</v>
      </c>
      <c r="L6" s="7">
        <v>74018248</v>
      </c>
      <c r="M6" s="7">
        <v>75173593</v>
      </c>
      <c r="N6" s="7">
        <v>81480552</v>
      </c>
    </row>
    <row r="7" spans="1:14" ht="15" x14ac:dyDescent="0.25">
      <c r="A7" s="21"/>
      <c r="B7" s="6" t="s">
        <v>17</v>
      </c>
      <c r="C7" s="7">
        <v>8060802</v>
      </c>
      <c r="D7" s="7">
        <v>5059740</v>
      </c>
      <c r="E7" s="7">
        <v>5112624</v>
      </c>
      <c r="F7" s="7">
        <v>3995037</v>
      </c>
      <c r="G7" s="7">
        <v>3453138</v>
      </c>
      <c r="H7" s="7">
        <v>3144268</v>
      </c>
      <c r="I7" s="7">
        <v>3810182</v>
      </c>
      <c r="J7" s="7">
        <v>3983765</v>
      </c>
      <c r="K7" s="7">
        <v>4000567</v>
      </c>
      <c r="L7" s="7">
        <v>4858501</v>
      </c>
      <c r="M7" s="7">
        <v>4863058</v>
      </c>
      <c r="N7" s="7">
        <v>5735724</v>
      </c>
    </row>
    <row r="8" spans="1:14" ht="15" x14ac:dyDescent="0.25">
      <c r="A8" s="21"/>
      <c r="B8" s="6" t="s">
        <v>18</v>
      </c>
      <c r="C8" s="7">
        <v>154960</v>
      </c>
      <c r="D8" s="7">
        <v>122037</v>
      </c>
      <c r="E8" s="7">
        <v>129904</v>
      </c>
      <c r="F8" s="7">
        <v>87631</v>
      </c>
      <c r="G8" s="7">
        <v>67383</v>
      </c>
      <c r="H8" s="7">
        <v>80396</v>
      </c>
      <c r="I8" s="7">
        <v>120197</v>
      </c>
      <c r="J8" s="7">
        <v>86942</v>
      </c>
      <c r="K8" s="7">
        <v>74152</v>
      </c>
      <c r="L8" s="7">
        <v>116427</v>
      </c>
      <c r="M8" s="7">
        <v>120477</v>
      </c>
      <c r="N8" s="7">
        <v>113643</v>
      </c>
    </row>
    <row r="9" spans="1:14" ht="15" x14ac:dyDescent="0.25">
      <c r="A9" s="21"/>
      <c r="B9" s="6" t="s">
        <v>19</v>
      </c>
      <c r="C9" s="7">
        <v>6193</v>
      </c>
      <c r="D9" s="7">
        <v>5028</v>
      </c>
      <c r="E9" s="7">
        <v>5806</v>
      </c>
      <c r="F9" s="7">
        <v>4281</v>
      </c>
      <c r="G9" s="7">
        <v>4262</v>
      </c>
      <c r="H9" s="7">
        <v>3205</v>
      </c>
      <c r="I9" s="7">
        <v>3675</v>
      </c>
      <c r="J9" s="7">
        <v>3919</v>
      </c>
      <c r="K9" s="7">
        <v>4458</v>
      </c>
      <c r="L9" s="7">
        <v>5936</v>
      </c>
      <c r="M9" s="7">
        <v>5911</v>
      </c>
      <c r="N9" s="7">
        <v>6806</v>
      </c>
    </row>
    <row r="10" spans="1:14" ht="15" x14ac:dyDescent="0.25">
      <c r="A10" s="21"/>
      <c r="B10" s="22" t="s">
        <v>20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15" x14ac:dyDescent="0.25">
      <c r="A11" s="21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" x14ac:dyDescent="0.25">
      <c r="A12" s="25" t="s">
        <v>21</v>
      </c>
      <c r="B12" s="26"/>
      <c r="C12" s="9">
        <f t="shared" ref="C12:N12" si="0">SUM(C5:C9,C11)</f>
        <v>96816003</v>
      </c>
      <c r="D12" s="9">
        <f t="shared" si="0"/>
        <v>65109650</v>
      </c>
      <c r="E12" s="9">
        <f t="shared" si="0"/>
        <v>74811938</v>
      </c>
      <c r="F12" s="9">
        <f t="shared" si="0"/>
        <v>64847088</v>
      </c>
      <c r="G12" s="9">
        <f>SUM(G5:G9,G11)</f>
        <v>63872181</v>
      </c>
      <c r="H12" s="9">
        <f t="shared" si="0"/>
        <v>61085582</v>
      </c>
      <c r="I12" s="9">
        <f t="shared" si="0"/>
        <v>64664811</v>
      </c>
      <c r="J12" s="9">
        <f t="shared" si="0"/>
        <v>68625517</v>
      </c>
      <c r="K12" s="9">
        <f t="shared" si="0"/>
        <v>70837621</v>
      </c>
      <c r="L12" s="9">
        <f t="shared" si="0"/>
        <v>78999112</v>
      </c>
      <c r="M12" s="9">
        <f t="shared" si="0"/>
        <v>80163039</v>
      </c>
      <c r="N12" s="9">
        <f t="shared" si="0"/>
        <v>87336725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tabSelected="1" topLeftCell="F1" zoomScale="85" zoomScaleNormal="85" workbookViewId="0">
      <selection activeCell="B9" sqref="B9:N9"/>
    </sheetView>
  </sheetViews>
  <sheetFormatPr defaultRowHeight="15" x14ac:dyDescent="0.25"/>
  <cols>
    <col min="1" max="1" width="19.85546875" customWidth="1"/>
    <col min="2" max="2" width="15.85546875" customWidth="1"/>
    <col min="3" max="3" width="22.28515625" customWidth="1"/>
    <col min="4" max="4" width="16.42578125" customWidth="1"/>
    <col min="5" max="5" width="16.5703125" customWidth="1"/>
    <col min="6" max="6" width="21.140625" customWidth="1"/>
    <col min="7" max="7" width="19.85546875" customWidth="1"/>
    <col min="8" max="8" width="17" customWidth="1"/>
    <col min="9" max="9" width="19.42578125" customWidth="1"/>
    <col min="10" max="10" width="18.5703125" customWidth="1"/>
    <col min="11" max="11" width="15.7109375" customWidth="1"/>
    <col min="12" max="12" width="15.5703125" customWidth="1"/>
    <col min="13" max="13" width="17.42578125" customWidth="1"/>
    <col min="14" max="14" width="18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0" t="s">
        <v>36</v>
      </c>
      <c r="B4" s="22" t="s">
        <v>33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1"/>
      <c r="B5" s="6" t="s">
        <v>16</v>
      </c>
      <c r="C5" s="12"/>
      <c r="D5" s="12"/>
      <c r="E5" s="10"/>
      <c r="F5" s="10"/>
      <c r="G5" s="17"/>
      <c r="H5" s="10"/>
      <c r="I5" s="10"/>
      <c r="J5" s="10"/>
      <c r="K5" s="10"/>
      <c r="L5" s="10"/>
      <c r="M5" s="10"/>
      <c r="N5" s="10"/>
    </row>
    <row r="6" spans="1:14" x14ac:dyDescent="0.25">
      <c r="A6" s="21"/>
      <c r="B6" s="6" t="s">
        <v>17</v>
      </c>
      <c r="C6" s="16"/>
      <c r="D6" s="12"/>
      <c r="E6" s="10"/>
      <c r="F6" s="10"/>
      <c r="G6" s="17"/>
      <c r="H6" s="10"/>
      <c r="I6" s="10"/>
      <c r="J6" s="10"/>
      <c r="K6" s="10"/>
      <c r="L6" s="10"/>
      <c r="M6" s="10"/>
      <c r="N6" s="10"/>
    </row>
    <row r="7" spans="1:14" x14ac:dyDescent="0.25">
      <c r="A7" s="21"/>
      <c r="B7" s="6" t="s">
        <v>18</v>
      </c>
      <c r="C7" s="12"/>
      <c r="D7" s="12"/>
      <c r="E7" s="10"/>
      <c r="F7" s="10">
        <v>27266</v>
      </c>
      <c r="G7" s="17">
        <v>25476</v>
      </c>
      <c r="H7" s="10">
        <v>23583</v>
      </c>
      <c r="I7" s="12">
        <v>29421</v>
      </c>
      <c r="J7" s="10">
        <v>26155</v>
      </c>
      <c r="K7" s="10">
        <v>22409</v>
      </c>
      <c r="L7" s="10">
        <v>36639</v>
      </c>
      <c r="M7" s="10">
        <v>57700</v>
      </c>
      <c r="N7" s="10">
        <v>65590</v>
      </c>
    </row>
    <row r="8" spans="1:14" x14ac:dyDescent="0.25">
      <c r="A8" s="21"/>
      <c r="B8" s="6" t="s">
        <v>19</v>
      </c>
      <c r="C8" s="10"/>
      <c r="D8" s="10"/>
      <c r="E8" s="10"/>
      <c r="F8" s="10">
        <v>1797</v>
      </c>
      <c r="G8" s="10">
        <v>2078</v>
      </c>
      <c r="H8" s="10">
        <v>1422</v>
      </c>
      <c r="I8" s="10">
        <v>1742</v>
      </c>
      <c r="J8" s="10">
        <v>1813.9999999999998</v>
      </c>
      <c r="K8" s="10">
        <v>1742</v>
      </c>
      <c r="L8" s="10">
        <v>2678</v>
      </c>
      <c r="M8" s="10">
        <v>3635</v>
      </c>
      <c r="N8" s="10">
        <v>4833</v>
      </c>
    </row>
    <row r="9" spans="1:14" x14ac:dyDescent="0.25">
      <c r="A9" s="21"/>
      <c r="B9" s="22" t="s">
        <v>34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21"/>
      <c r="B10" s="8"/>
      <c r="C10" s="10"/>
      <c r="D10" s="10"/>
      <c r="E10" s="7"/>
      <c r="F10" s="7"/>
      <c r="G10" s="7"/>
      <c r="H10" s="7"/>
      <c r="I10" s="7"/>
      <c r="J10" s="7"/>
      <c r="K10" s="7"/>
      <c r="L10" s="10"/>
      <c r="M10" s="10"/>
      <c r="N10" s="10"/>
    </row>
    <row r="11" spans="1:14" x14ac:dyDescent="0.25">
      <c r="A11" s="25" t="s">
        <v>21</v>
      </c>
      <c r="B11" s="26"/>
      <c r="C11" s="9">
        <f t="shared" ref="C11:N11" si="0">SUM(C5:C8,C10)</f>
        <v>0</v>
      </c>
      <c r="D11" s="9">
        <f t="shared" si="0"/>
        <v>0</v>
      </c>
      <c r="E11" s="9">
        <f t="shared" si="0"/>
        <v>0</v>
      </c>
      <c r="F11" s="9">
        <f t="shared" si="0"/>
        <v>29063</v>
      </c>
      <c r="G11" s="9">
        <f t="shared" si="0"/>
        <v>27554</v>
      </c>
      <c r="H11" s="9">
        <f t="shared" si="0"/>
        <v>25005</v>
      </c>
      <c r="I11" s="9">
        <f>SUM(I5:I8,I10)</f>
        <v>31163</v>
      </c>
      <c r="J11" s="9">
        <f t="shared" si="0"/>
        <v>27969</v>
      </c>
      <c r="K11" s="9">
        <f t="shared" si="0"/>
        <v>24151</v>
      </c>
      <c r="L11" s="9">
        <f>SUM(L5:L8,L10)</f>
        <v>39317</v>
      </c>
      <c r="M11" s="9">
        <f t="shared" si="0"/>
        <v>61335</v>
      </c>
      <c r="N11" s="9">
        <f t="shared" si="0"/>
        <v>70423</v>
      </c>
    </row>
    <row r="15" spans="1:14" x14ac:dyDescent="0.25">
      <c r="I15" s="18"/>
    </row>
    <row r="16" spans="1:14" x14ac:dyDescent="0.25">
      <c r="I16" s="18"/>
    </row>
    <row r="17" spans="9:9" x14ac:dyDescent="0.25">
      <c r="I17" s="18"/>
    </row>
    <row r="18" spans="9:9" x14ac:dyDescent="0.25">
      <c r="I18" s="18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1"/>
  <sheetViews>
    <sheetView workbookViewId="0">
      <selection activeCell="D18" sqref="D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0" t="s">
        <v>26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15" x14ac:dyDescent="0.25">
      <c r="A5" s="21"/>
      <c r="B5" s="6" t="s">
        <v>16</v>
      </c>
      <c r="C5" s="7">
        <v>76055010</v>
      </c>
      <c r="D5" s="7">
        <v>65485538</v>
      </c>
      <c r="E5" s="7">
        <v>69540183</v>
      </c>
      <c r="F5" s="7">
        <v>61265166</v>
      </c>
      <c r="G5" s="7">
        <v>65298105</v>
      </c>
      <c r="H5" s="7">
        <v>60694893</v>
      </c>
      <c r="I5" s="7">
        <v>65042147</v>
      </c>
      <c r="J5" s="7">
        <v>64153864</v>
      </c>
      <c r="K5" s="7">
        <v>66979200</v>
      </c>
      <c r="L5" s="7">
        <v>75306746</v>
      </c>
      <c r="M5" s="7">
        <v>77691017</v>
      </c>
      <c r="N5" s="7">
        <v>78800374</v>
      </c>
    </row>
    <row r="6" spans="1:14" ht="15" x14ac:dyDescent="0.25">
      <c r="A6" s="21"/>
      <c r="B6" s="6" t="s">
        <v>17</v>
      </c>
      <c r="C6" s="7">
        <v>5153429</v>
      </c>
      <c r="D6" s="7">
        <v>5191676</v>
      </c>
      <c r="E6" s="7">
        <v>5058532</v>
      </c>
      <c r="F6" s="7">
        <v>4224822</v>
      </c>
      <c r="G6" s="7">
        <v>4057408</v>
      </c>
      <c r="H6" s="7">
        <v>3656189</v>
      </c>
      <c r="I6" s="7">
        <v>4029667</v>
      </c>
      <c r="J6" s="7">
        <v>4048446</v>
      </c>
      <c r="K6" s="7">
        <v>3344798</v>
      </c>
      <c r="L6" s="7">
        <v>3617101</v>
      </c>
      <c r="M6" s="7">
        <v>3861597</v>
      </c>
      <c r="N6" s="7">
        <v>4060861</v>
      </c>
    </row>
    <row r="7" spans="1:14" ht="15" x14ac:dyDescent="0.25">
      <c r="A7" s="21"/>
      <c r="B7" s="6" t="s">
        <v>18</v>
      </c>
      <c r="C7" s="7">
        <v>114688</v>
      </c>
      <c r="D7" s="7">
        <v>134670</v>
      </c>
      <c r="E7" s="7">
        <v>90777</v>
      </c>
      <c r="F7" s="7">
        <v>98043</v>
      </c>
      <c r="G7" s="7">
        <v>85300</v>
      </c>
      <c r="H7" s="7">
        <v>105674</v>
      </c>
      <c r="I7" s="7">
        <v>110169</v>
      </c>
      <c r="J7" s="7">
        <v>97742</v>
      </c>
      <c r="K7" s="7">
        <v>105573</v>
      </c>
      <c r="L7" s="7">
        <v>137919</v>
      </c>
      <c r="M7" s="7">
        <v>206717</v>
      </c>
      <c r="N7" s="7">
        <v>133377</v>
      </c>
    </row>
    <row r="8" spans="1:14" ht="15" x14ac:dyDescent="0.25">
      <c r="A8" s="21"/>
      <c r="B8" s="6" t="s">
        <v>19</v>
      </c>
      <c r="C8" s="7">
        <v>7398</v>
      </c>
      <c r="D8" s="7">
        <v>7889</v>
      </c>
      <c r="E8" s="7">
        <v>6274</v>
      </c>
      <c r="F8" s="7">
        <v>5294</v>
      </c>
      <c r="G8" s="7">
        <v>4256</v>
      </c>
      <c r="H8" s="7">
        <v>3790</v>
      </c>
      <c r="I8" s="7">
        <v>4025</v>
      </c>
      <c r="J8" s="7">
        <v>4511</v>
      </c>
      <c r="K8" s="7">
        <v>5486</v>
      </c>
      <c r="L8" s="7">
        <v>5837</v>
      </c>
      <c r="M8" s="7">
        <v>5966</v>
      </c>
      <c r="N8" s="7">
        <v>7004</v>
      </c>
    </row>
    <row r="9" spans="1:14" ht="15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15" x14ac:dyDescent="0.25">
      <c r="A10" s="21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" x14ac:dyDescent="0.25">
      <c r="A11" s="25" t="s">
        <v>21</v>
      </c>
      <c r="B11" s="26"/>
      <c r="C11" s="9">
        <f t="shared" ref="C11:N11" si="0">SUM(C5:C8,C10)</f>
        <v>81330525</v>
      </c>
      <c r="D11" s="9">
        <f t="shared" si="0"/>
        <v>70819773</v>
      </c>
      <c r="E11" s="9">
        <f t="shared" si="0"/>
        <v>74695766</v>
      </c>
      <c r="F11" s="9">
        <f t="shared" si="0"/>
        <v>65593325</v>
      </c>
      <c r="G11" s="9">
        <f t="shared" si="0"/>
        <v>69445069</v>
      </c>
      <c r="H11" s="9">
        <f t="shared" si="0"/>
        <v>64460546</v>
      </c>
      <c r="I11" s="9">
        <f t="shared" si="0"/>
        <v>69186008</v>
      </c>
      <c r="J11" s="9">
        <f t="shared" si="0"/>
        <v>68304563</v>
      </c>
      <c r="K11" s="9">
        <f t="shared" si="0"/>
        <v>70435057</v>
      </c>
      <c r="L11" s="9">
        <f t="shared" si="0"/>
        <v>79067603</v>
      </c>
      <c r="M11" s="9">
        <f t="shared" si="0"/>
        <v>81765297</v>
      </c>
      <c r="N11" s="9">
        <f t="shared" si="0"/>
        <v>83001616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1"/>
  <sheetViews>
    <sheetView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0" t="s">
        <v>26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15" x14ac:dyDescent="0.25">
      <c r="A5" s="21"/>
      <c r="B5" s="6" t="s">
        <v>16</v>
      </c>
      <c r="C5" s="7">
        <v>69105187</v>
      </c>
      <c r="D5" s="7">
        <v>60623726</v>
      </c>
      <c r="E5" s="7">
        <v>67557705</v>
      </c>
      <c r="F5" s="7">
        <v>58785244</v>
      </c>
      <c r="G5" s="7">
        <v>57817162</v>
      </c>
      <c r="H5" s="7">
        <v>55280440</v>
      </c>
      <c r="I5" s="7">
        <v>62359589</v>
      </c>
      <c r="J5" s="7">
        <v>61588710</v>
      </c>
      <c r="K5" s="7">
        <v>61607860</v>
      </c>
      <c r="L5" s="7">
        <v>69067435</v>
      </c>
      <c r="M5" s="7">
        <v>73397836</v>
      </c>
      <c r="N5" s="7">
        <v>74322781</v>
      </c>
    </row>
    <row r="6" spans="1:14" ht="15" x14ac:dyDescent="0.25">
      <c r="A6" s="21"/>
      <c r="B6" s="6" t="s">
        <v>17</v>
      </c>
      <c r="C6" s="7">
        <v>4214982</v>
      </c>
      <c r="D6" s="7">
        <v>3607345</v>
      </c>
      <c r="E6" s="7">
        <v>4188242</v>
      </c>
      <c r="F6" s="7">
        <v>4157012</v>
      </c>
      <c r="G6" s="7">
        <v>3775140</v>
      </c>
      <c r="H6" s="7">
        <v>3351321</v>
      </c>
      <c r="I6" s="7">
        <v>3714039</v>
      </c>
      <c r="J6" s="7">
        <v>3866675</v>
      </c>
      <c r="K6" s="7">
        <v>3879695</v>
      </c>
      <c r="L6" s="7">
        <v>4735864</v>
      </c>
      <c r="M6" s="7">
        <v>5302289</v>
      </c>
      <c r="N6" s="7">
        <v>5396234</v>
      </c>
    </row>
    <row r="7" spans="1:14" ht="15" x14ac:dyDescent="0.25">
      <c r="A7" s="21"/>
      <c r="B7" s="6" t="s">
        <v>18</v>
      </c>
      <c r="C7" s="7">
        <v>125855</v>
      </c>
      <c r="D7" s="7">
        <v>125151</v>
      </c>
      <c r="E7" s="7">
        <v>134249</v>
      </c>
      <c r="F7" s="7">
        <v>127637</v>
      </c>
      <c r="G7" s="7">
        <v>97175</v>
      </c>
      <c r="H7" s="7">
        <v>111003</v>
      </c>
      <c r="I7" s="7">
        <v>84707</v>
      </c>
      <c r="J7" s="7">
        <v>113015</v>
      </c>
      <c r="K7" s="7">
        <v>54158</v>
      </c>
      <c r="L7" s="7">
        <v>154201</v>
      </c>
      <c r="M7" s="7">
        <v>105672</v>
      </c>
      <c r="N7" s="7">
        <v>81010</v>
      </c>
    </row>
    <row r="8" spans="1:14" ht="15" x14ac:dyDescent="0.25">
      <c r="A8" s="21"/>
      <c r="B8" s="6" t="s">
        <v>19</v>
      </c>
      <c r="C8" s="7">
        <v>5623</v>
      </c>
      <c r="D8" s="7">
        <v>6379</v>
      </c>
      <c r="E8" s="7">
        <v>5365</v>
      </c>
      <c r="F8" s="7">
        <v>4952</v>
      </c>
      <c r="G8" s="7">
        <v>4466</v>
      </c>
      <c r="H8" s="7">
        <v>4349</v>
      </c>
      <c r="I8" s="7">
        <v>4272</v>
      </c>
      <c r="J8" s="7">
        <v>3379</v>
      </c>
      <c r="K8" s="7">
        <v>5054</v>
      </c>
      <c r="L8" s="7">
        <v>6331</v>
      </c>
      <c r="M8" s="7">
        <v>6260</v>
      </c>
      <c r="N8" s="7">
        <v>6193</v>
      </c>
    </row>
    <row r="9" spans="1:14" ht="15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15" x14ac:dyDescent="0.25">
      <c r="A10" s="21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" x14ac:dyDescent="0.25">
      <c r="A11" s="25" t="s">
        <v>21</v>
      </c>
      <c r="B11" s="26"/>
      <c r="C11" s="9">
        <f t="shared" ref="C11:N11" si="0">SUM(C5:C8,C10)</f>
        <v>73451647</v>
      </c>
      <c r="D11" s="9">
        <f t="shared" si="0"/>
        <v>64362601</v>
      </c>
      <c r="E11" s="9">
        <f t="shared" si="0"/>
        <v>71885561</v>
      </c>
      <c r="F11" s="9">
        <f t="shared" si="0"/>
        <v>63074845</v>
      </c>
      <c r="G11" s="9">
        <f t="shared" si="0"/>
        <v>61693943</v>
      </c>
      <c r="H11" s="9">
        <f t="shared" si="0"/>
        <v>58747113</v>
      </c>
      <c r="I11" s="9">
        <f t="shared" si="0"/>
        <v>66162607</v>
      </c>
      <c r="J11" s="9">
        <f t="shared" si="0"/>
        <v>65571779</v>
      </c>
      <c r="K11" s="9">
        <f t="shared" si="0"/>
        <v>65546767</v>
      </c>
      <c r="L11" s="9">
        <f t="shared" si="0"/>
        <v>73963831</v>
      </c>
      <c r="M11" s="9">
        <f t="shared" si="0"/>
        <v>78812057</v>
      </c>
      <c r="N11" s="9">
        <f t="shared" si="0"/>
        <v>79806218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1"/>
  <sheetViews>
    <sheetView zoomScale="70" zoomScaleNormal="70" workbookViewId="0">
      <selection sqref="A1: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0" t="s">
        <v>26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ht="15" x14ac:dyDescent="0.25">
      <c r="A5" s="21"/>
      <c r="B5" s="6" t="s">
        <v>16</v>
      </c>
      <c r="C5" s="7">
        <v>69345375</v>
      </c>
      <c r="D5" s="7">
        <v>61335932</v>
      </c>
      <c r="E5" s="7">
        <v>63955108</v>
      </c>
      <c r="F5" s="7">
        <v>57341579</v>
      </c>
      <c r="G5" s="7">
        <v>59036545</v>
      </c>
      <c r="H5" s="7">
        <v>56074801</v>
      </c>
      <c r="I5" s="7">
        <v>59551215</v>
      </c>
      <c r="J5" s="10">
        <v>63316388</v>
      </c>
      <c r="K5" s="10">
        <v>62650401</v>
      </c>
      <c r="L5" s="10">
        <v>73548259</v>
      </c>
      <c r="M5" s="10">
        <v>80592384</v>
      </c>
      <c r="N5" s="10">
        <v>85694518</v>
      </c>
    </row>
    <row r="6" spans="1:14" ht="15" x14ac:dyDescent="0.25">
      <c r="A6" s="21"/>
      <c r="B6" s="6" t="s">
        <v>17</v>
      </c>
      <c r="C6" s="7">
        <v>5538951</v>
      </c>
      <c r="D6" s="7">
        <v>4928339</v>
      </c>
      <c r="E6" s="7">
        <v>5097338</v>
      </c>
      <c r="F6" s="7">
        <v>3965246</v>
      </c>
      <c r="G6" s="7">
        <v>3382992</v>
      </c>
      <c r="H6" s="7">
        <v>3382914</v>
      </c>
      <c r="I6" s="7">
        <v>3700785</v>
      </c>
      <c r="J6" s="10">
        <v>3763444</v>
      </c>
      <c r="K6" s="10">
        <v>3742006</v>
      </c>
      <c r="L6" s="10">
        <v>2755237</v>
      </c>
      <c r="M6" s="10">
        <v>9451</v>
      </c>
      <c r="N6" s="10"/>
    </row>
    <row r="7" spans="1:14" ht="15" x14ac:dyDescent="0.25">
      <c r="A7" s="21"/>
      <c r="B7" s="6" t="s">
        <v>18</v>
      </c>
      <c r="C7" s="7">
        <v>100885</v>
      </c>
      <c r="D7" s="7">
        <v>112298</v>
      </c>
      <c r="E7" s="7">
        <v>80102</v>
      </c>
      <c r="F7" s="7">
        <v>88922</v>
      </c>
      <c r="G7" s="7">
        <v>84551</v>
      </c>
      <c r="H7" s="7">
        <v>86018</v>
      </c>
      <c r="I7" s="7">
        <v>83989</v>
      </c>
      <c r="J7" s="10">
        <v>80198</v>
      </c>
      <c r="K7" s="10">
        <v>69656</v>
      </c>
      <c r="L7" s="10">
        <v>87216</v>
      </c>
      <c r="M7" s="10">
        <v>120282</v>
      </c>
      <c r="N7" s="10">
        <v>115069</v>
      </c>
    </row>
    <row r="8" spans="1:14" ht="15" x14ac:dyDescent="0.25">
      <c r="A8" s="21"/>
      <c r="B8" s="6" t="s">
        <v>19</v>
      </c>
      <c r="C8" s="7">
        <v>6583</v>
      </c>
      <c r="D8" s="7">
        <v>6237</v>
      </c>
      <c r="E8" s="7">
        <v>4815</v>
      </c>
      <c r="F8" s="7">
        <v>7088</v>
      </c>
      <c r="G8" s="7">
        <v>4650</v>
      </c>
      <c r="H8" s="7">
        <v>4037</v>
      </c>
      <c r="I8" s="7">
        <v>3775</v>
      </c>
      <c r="J8" s="10">
        <v>4688</v>
      </c>
      <c r="K8" s="10">
        <v>5196</v>
      </c>
      <c r="L8" s="10">
        <v>5551</v>
      </c>
      <c r="M8" s="10">
        <v>7294</v>
      </c>
      <c r="N8" s="10">
        <v>6886</v>
      </c>
    </row>
    <row r="9" spans="1:14" ht="15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15" x14ac:dyDescent="0.25">
      <c r="A10" s="21"/>
      <c r="B10" s="8"/>
      <c r="C10" s="7"/>
      <c r="D10" s="7"/>
      <c r="E10" s="7"/>
      <c r="F10" s="7"/>
      <c r="G10" s="7"/>
      <c r="H10" s="7"/>
      <c r="I10" s="7">
        <v>706</v>
      </c>
      <c r="J10" s="7">
        <v>541</v>
      </c>
      <c r="K10" s="7">
        <v>714</v>
      </c>
      <c r="L10" s="10">
        <v>655</v>
      </c>
      <c r="M10" s="10">
        <v>536</v>
      </c>
      <c r="N10" s="10">
        <v>689</v>
      </c>
    </row>
    <row r="11" spans="1:14" ht="15" x14ac:dyDescent="0.25">
      <c r="A11" s="25" t="s">
        <v>21</v>
      </c>
      <c r="B11" s="26"/>
      <c r="C11" s="9">
        <f t="shared" ref="C11:N11" si="0">SUM(C5:C8,C10)</f>
        <v>74991794</v>
      </c>
      <c r="D11" s="9">
        <f t="shared" si="0"/>
        <v>66382806</v>
      </c>
      <c r="E11" s="9">
        <f t="shared" si="0"/>
        <v>69137363</v>
      </c>
      <c r="F11" s="9">
        <f t="shared" si="0"/>
        <v>61402835</v>
      </c>
      <c r="G11" s="9">
        <f t="shared" si="0"/>
        <v>62508738</v>
      </c>
      <c r="H11" s="9">
        <f t="shared" si="0"/>
        <v>59547770</v>
      </c>
      <c r="I11" s="9">
        <f t="shared" si="0"/>
        <v>63340470</v>
      </c>
      <c r="J11" s="9">
        <f t="shared" si="0"/>
        <v>67165259</v>
      </c>
      <c r="K11" s="9">
        <f t="shared" si="0"/>
        <v>66467973</v>
      </c>
      <c r="L11" s="9">
        <f t="shared" si="0"/>
        <v>76396918</v>
      </c>
      <c r="M11" s="9">
        <f t="shared" si="0"/>
        <v>80729947</v>
      </c>
      <c r="N11" s="9">
        <f t="shared" si="0"/>
        <v>85817162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"/>
  <sheetViews>
    <sheetView zoomScale="85" zoomScaleNormal="85" workbookViewId="0">
      <selection activeCell="N5" sqref="N5:N8"/>
    </sheetView>
  </sheetViews>
  <sheetFormatPr defaultRowHeight="15" x14ac:dyDescent="0.25"/>
  <cols>
    <col min="1" max="1" width="19.85546875" customWidth="1"/>
    <col min="2" max="2" width="15.85546875" customWidth="1"/>
    <col min="3" max="3" width="18.7109375" customWidth="1"/>
    <col min="4" max="4" width="16.42578125" customWidth="1"/>
    <col min="5" max="5" width="16.5703125" customWidth="1"/>
    <col min="6" max="6" width="21.140625" customWidth="1"/>
    <col min="7" max="7" width="19.85546875" customWidth="1"/>
    <col min="8" max="8" width="17" customWidth="1"/>
    <col min="9" max="9" width="19.42578125" customWidth="1"/>
    <col min="10" max="10" width="18.5703125" customWidth="1"/>
    <col min="11" max="11" width="15.7109375" customWidth="1"/>
    <col min="12" max="12" width="15.5703125" customWidth="1"/>
    <col min="13" max="13" width="17.42578125" customWidth="1"/>
    <col min="14" max="14" width="18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0" t="s">
        <v>29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1"/>
      <c r="B5" s="6" t="s">
        <v>16</v>
      </c>
      <c r="C5" s="10">
        <v>84002259</v>
      </c>
      <c r="D5" s="10">
        <v>79572516</v>
      </c>
      <c r="E5" s="7">
        <v>83114374</v>
      </c>
      <c r="F5" s="7">
        <v>73062561</v>
      </c>
      <c r="G5" s="7">
        <v>73377556</v>
      </c>
      <c r="H5" s="7">
        <v>71802433</v>
      </c>
      <c r="I5" s="7">
        <v>75388230</v>
      </c>
      <c r="J5" s="10">
        <v>74727212</v>
      </c>
      <c r="K5" s="10">
        <v>68774104</v>
      </c>
      <c r="L5" s="10">
        <v>79762662</v>
      </c>
      <c r="M5" s="10">
        <v>81123478</v>
      </c>
      <c r="N5" s="10">
        <v>85437071</v>
      </c>
    </row>
    <row r="6" spans="1:14" x14ac:dyDescent="0.25">
      <c r="A6" s="21"/>
      <c r="B6" s="6" t="s">
        <v>17</v>
      </c>
      <c r="C6" s="11"/>
      <c r="D6" s="10"/>
      <c r="E6" s="7"/>
      <c r="F6" s="7"/>
      <c r="G6" s="7"/>
      <c r="H6" s="7"/>
      <c r="I6" s="7"/>
      <c r="J6" s="10"/>
      <c r="K6" s="10"/>
      <c r="L6" s="10"/>
      <c r="M6" s="10"/>
      <c r="N6" s="10"/>
    </row>
    <row r="7" spans="1:14" x14ac:dyDescent="0.25">
      <c r="A7" s="21"/>
      <c r="B7" s="6" t="s">
        <v>18</v>
      </c>
      <c r="C7" s="10">
        <v>128002</v>
      </c>
      <c r="D7" s="10">
        <v>110171</v>
      </c>
      <c r="E7" s="7">
        <v>110627</v>
      </c>
      <c r="F7" s="7">
        <v>81622</v>
      </c>
      <c r="G7" s="7">
        <v>49444</v>
      </c>
      <c r="H7" s="7">
        <v>78863</v>
      </c>
      <c r="I7" s="7">
        <v>94012</v>
      </c>
      <c r="J7" s="10">
        <v>75313</v>
      </c>
      <c r="K7" s="10">
        <v>77132</v>
      </c>
      <c r="L7" s="10">
        <v>94027</v>
      </c>
      <c r="M7" s="10">
        <v>109861</v>
      </c>
      <c r="N7" s="10">
        <v>150885</v>
      </c>
    </row>
    <row r="8" spans="1:14" x14ac:dyDescent="0.25">
      <c r="A8" s="21"/>
      <c r="B8" s="6" t="s">
        <v>19</v>
      </c>
      <c r="C8" s="10">
        <v>7839</v>
      </c>
      <c r="D8" s="10">
        <v>7239</v>
      </c>
      <c r="E8" s="7">
        <v>6705</v>
      </c>
      <c r="F8" s="7">
        <v>6826</v>
      </c>
      <c r="G8" s="7">
        <v>5073</v>
      </c>
      <c r="H8" s="7">
        <v>4320</v>
      </c>
      <c r="I8" s="7">
        <v>3559</v>
      </c>
      <c r="J8" s="10">
        <v>3884</v>
      </c>
      <c r="K8" s="10">
        <v>5473</v>
      </c>
      <c r="L8" s="10">
        <v>7289</v>
      </c>
      <c r="M8" s="10">
        <v>9473</v>
      </c>
      <c r="N8" s="10">
        <v>10029</v>
      </c>
    </row>
    <row r="9" spans="1:14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21"/>
      <c r="B10" s="8"/>
      <c r="C10" s="10">
        <v>529</v>
      </c>
      <c r="D10" s="10"/>
      <c r="E10" s="7"/>
      <c r="F10" s="7"/>
      <c r="G10" s="7"/>
      <c r="H10" s="7"/>
      <c r="I10" s="7"/>
      <c r="J10" s="7"/>
      <c r="K10" s="7"/>
      <c r="L10" s="10"/>
      <c r="M10" s="10"/>
      <c r="N10" s="10"/>
    </row>
    <row r="11" spans="1:14" x14ac:dyDescent="0.25">
      <c r="A11" s="25" t="s">
        <v>21</v>
      </c>
      <c r="B11" s="26"/>
      <c r="C11" s="9">
        <f t="shared" ref="C11:N11" si="0">SUM(C5:C8,C10)</f>
        <v>84138629</v>
      </c>
      <c r="D11" s="9">
        <f t="shared" si="0"/>
        <v>79689926</v>
      </c>
      <c r="E11" s="9">
        <f t="shared" si="0"/>
        <v>83231706</v>
      </c>
      <c r="F11" s="9">
        <f t="shared" si="0"/>
        <v>73151009</v>
      </c>
      <c r="G11" s="9">
        <f t="shared" ref="G11" si="1">SUM(G5:G8,G10)</f>
        <v>73432073</v>
      </c>
      <c r="H11" s="9">
        <f t="shared" si="0"/>
        <v>71885616</v>
      </c>
      <c r="I11" s="9">
        <f t="shared" ref="I11:J11" si="2">SUM(I5:I8,I10)</f>
        <v>75485801</v>
      </c>
      <c r="J11" s="9">
        <f t="shared" si="2"/>
        <v>74806409</v>
      </c>
      <c r="K11" s="9">
        <f t="shared" si="0"/>
        <v>68856709</v>
      </c>
      <c r="L11" s="9">
        <f t="shared" si="0"/>
        <v>79863978</v>
      </c>
      <c r="M11" s="9">
        <f t="shared" si="0"/>
        <v>81242812</v>
      </c>
      <c r="N11" s="9">
        <f t="shared" si="0"/>
        <v>85597985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1"/>
  <sheetViews>
    <sheetView zoomScale="85" zoomScaleNormal="85" workbookViewId="0">
      <selection activeCell="N5" sqref="N5"/>
    </sheetView>
  </sheetViews>
  <sheetFormatPr defaultRowHeight="15" x14ac:dyDescent="0.25"/>
  <cols>
    <col min="1" max="1" width="19.85546875" customWidth="1"/>
    <col min="2" max="2" width="15.85546875" customWidth="1"/>
    <col min="3" max="3" width="18.7109375" customWidth="1"/>
    <col min="4" max="4" width="16.42578125" customWidth="1"/>
    <col min="5" max="5" width="16.5703125" customWidth="1"/>
    <col min="6" max="6" width="21.140625" customWidth="1"/>
    <col min="7" max="7" width="19.85546875" customWidth="1"/>
    <col min="8" max="8" width="17" customWidth="1"/>
    <col min="9" max="9" width="19.42578125" customWidth="1"/>
    <col min="10" max="10" width="18.5703125" customWidth="1"/>
    <col min="11" max="11" width="15.7109375" customWidth="1"/>
    <col min="12" max="12" width="15.5703125" customWidth="1"/>
    <col min="13" max="13" width="17.42578125" customWidth="1"/>
    <col min="14" max="14" width="18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x14ac:dyDescent="0.25">
      <c r="A4" s="20" t="s">
        <v>29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1"/>
      <c r="B5" s="6" t="s">
        <v>16</v>
      </c>
      <c r="C5" s="10">
        <v>79175627</v>
      </c>
      <c r="D5" s="10">
        <v>77099127.897</v>
      </c>
      <c r="E5" s="10">
        <v>87252794.715000004</v>
      </c>
      <c r="F5" s="10">
        <v>75180510</v>
      </c>
      <c r="G5" s="10">
        <v>75567870.498999998</v>
      </c>
      <c r="H5" s="10">
        <v>68276054.012999997</v>
      </c>
      <c r="I5" s="10">
        <v>71405179.850999996</v>
      </c>
      <c r="J5" s="10">
        <v>76202790.850999996</v>
      </c>
      <c r="K5" s="10">
        <v>72918240.827000007</v>
      </c>
      <c r="L5" s="10">
        <v>84694762.429000005</v>
      </c>
      <c r="M5" s="10">
        <v>85076610.466999993</v>
      </c>
      <c r="N5" s="10">
        <v>89992236.447999999</v>
      </c>
    </row>
    <row r="6" spans="1:14" x14ac:dyDescent="0.25">
      <c r="A6" s="21"/>
      <c r="B6" s="6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21"/>
      <c r="B7" s="6" t="s">
        <v>18</v>
      </c>
      <c r="C7" s="10">
        <v>130048</v>
      </c>
      <c r="D7" s="10">
        <v>137335</v>
      </c>
      <c r="E7" s="10">
        <v>119623</v>
      </c>
      <c r="F7" s="10">
        <v>86205</v>
      </c>
      <c r="G7" s="10">
        <v>77334.501000000004</v>
      </c>
      <c r="H7" s="10">
        <v>90488.986999999994</v>
      </c>
      <c r="I7" s="10">
        <v>84769.149000000005</v>
      </c>
      <c r="J7" s="10">
        <v>50146.148999999998</v>
      </c>
      <c r="K7" s="10">
        <v>91345.172999999995</v>
      </c>
      <c r="L7" s="10">
        <v>88043.570999999996</v>
      </c>
      <c r="M7" s="10">
        <v>123106.533</v>
      </c>
      <c r="N7" s="10">
        <v>132769.552</v>
      </c>
    </row>
    <row r="8" spans="1:14" x14ac:dyDescent="0.25">
      <c r="A8" s="21"/>
      <c r="B8" s="6" t="s">
        <v>19</v>
      </c>
      <c r="C8" s="10">
        <v>11790</v>
      </c>
      <c r="D8" s="10">
        <v>10742</v>
      </c>
      <c r="E8" s="10">
        <v>10381</v>
      </c>
      <c r="F8" s="10">
        <v>8926</v>
      </c>
      <c r="G8" s="10">
        <v>6461</v>
      </c>
      <c r="H8" s="10">
        <v>4000</v>
      </c>
      <c r="I8" s="10">
        <v>3446</v>
      </c>
      <c r="J8" s="10">
        <v>3548</v>
      </c>
      <c r="K8" s="10">
        <v>4313</v>
      </c>
      <c r="L8" s="10">
        <v>8004</v>
      </c>
      <c r="M8" s="10">
        <v>9346</v>
      </c>
      <c r="N8" s="10">
        <v>16477</v>
      </c>
    </row>
    <row r="9" spans="1:14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21"/>
      <c r="B10" s="8"/>
      <c r="C10" s="10"/>
      <c r="D10" s="10"/>
      <c r="E10" s="7"/>
      <c r="F10" s="7"/>
      <c r="G10" s="7"/>
      <c r="H10" s="7"/>
      <c r="I10" s="7"/>
      <c r="J10" s="7"/>
      <c r="K10" s="7"/>
      <c r="L10" s="10"/>
      <c r="M10" s="10"/>
      <c r="N10" s="10"/>
    </row>
    <row r="11" spans="1:14" x14ac:dyDescent="0.25">
      <c r="A11" s="25" t="s">
        <v>21</v>
      </c>
      <c r="B11" s="26"/>
      <c r="C11" s="9">
        <f t="shared" ref="C11:N11" si="0">SUM(C5:C8,C10)</f>
        <v>79317465</v>
      </c>
      <c r="D11" s="9">
        <f t="shared" si="0"/>
        <v>77247204.897</v>
      </c>
      <c r="E11" s="9">
        <f t="shared" si="0"/>
        <v>87382798.715000004</v>
      </c>
      <c r="F11" s="9">
        <f t="shared" si="0"/>
        <v>75275641</v>
      </c>
      <c r="G11" s="9">
        <f t="shared" si="0"/>
        <v>75651666</v>
      </c>
      <c r="H11" s="9">
        <f t="shared" si="0"/>
        <v>68370543</v>
      </c>
      <c r="I11" s="9">
        <f t="shared" si="0"/>
        <v>71493395</v>
      </c>
      <c r="J11" s="9">
        <f t="shared" si="0"/>
        <v>76256485</v>
      </c>
      <c r="K11" s="9">
        <f t="shared" si="0"/>
        <v>73013899</v>
      </c>
      <c r="L11" s="9">
        <f t="shared" si="0"/>
        <v>84790810</v>
      </c>
      <c r="M11" s="9">
        <f t="shared" si="0"/>
        <v>85209063</v>
      </c>
      <c r="N11" s="9">
        <f t="shared" si="0"/>
        <v>90141483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"/>
  <sheetViews>
    <sheetView zoomScale="70" zoomScaleNormal="70" workbookViewId="0">
      <selection activeCell="N5" sqref="N5"/>
    </sheetView>
  </sheetViews>
  <sheetFormatPr defaultRowHeight="15" x14ac:dyDescent="0.25"/>
  <cols>
    <col min="1" max="1" width="19.85546875" customWidth="1"/>
    <col min="2" max="2" width="15.85546875" customWidth="1"/>
    <col min="3" max="3" width="22.28515625" customWidth="1"/>
    <col min="4" max="4" width="16.42578125" customWidth="1"/>
    <col min="5" max="5" width="16.5703125" customWidth="1"/>
    <col min="6" max="6" width="21.140625" customWidth="1"/>
    <col min="7" max="7" width="19.85546875" customWidth="1"/>
    <col min="8" max="8" width="17" customWidth="1"/>
    <col min="9" max="9" width="19.42578125" customWidth="1"/>
    <col min="10" max="10" width="18.5703125" customWidth="1"/>
    <col min="11" max="11" width="15.7109375" customWidth="1"/>
    <col min="12" max="12" width="15.5703125" customWidth="1"/>
    <col min="13" max="13" width="17.42578125" customWidth="1"/>
    <col min="14" max="14" width="18.5703125" customWidth="1"/>
    <col min="15" max="15" width="9.140625" style="14"/>
    <col min="17" max="17" width="14.85546875" style="14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7" x14ac:dyDescent="0.25">
      <c r="A4" s="20" t="s">
        <v>29</v>
      </c>
      <c r="B4" s="22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7" x14ac:dyDescent="0.25">
      <c r="A5" s="21"/>
      <c r="B5" s="6" t="s">
        <v>16</v>
      </c>
      <c r="C5" s="12">
        <f>84500851.936+252198.782+80178.312</f>
        <v>84833229.030000016</v>
      </c>
      <c r="D5" s="12">
        <f>77122500.047+75804.972+300158.465</f>
        <v>77498463.484000012</v>
      </c>
      <c r="E5" s="12">
        <f>89125629.773+62452+140840</f>
        <v>89328921.773000002</v>
      </c>
      <c r="F5" s="12">
        <f>79114833.582+63596+42237</f>
        <v>79220666.582000002</v>
      </c>
      <c r="G5" s="12">
        <f>76631524.576+69018+24505</f>
        <v>76725047.576000005</v>
      </c>
      <c r="H5" s="10">
        <f>69332430.181+40553.468+17166</f>
        <v>69390149.648999989</v>
      </c>
      <c r="I5" s="10">
        <f>'[1]ИА ДЭ'!$R$83+'[1]ИА ДЭ'!$R$84+[1]Баланс!$C$16</f>
        <v>70831040.057999998</v>
      </c>
      <c r="J5" s="10">
        <f>[2]Баланс!$C$16+'[2]ИА ДЭ'!$R$82+'[2]ИА ДЭ'!$R$83</f>
        <v>74887944.245000005</v>
      </c>
      <c r="K5" s="10">
        <f>'[3]ИА ДЭ'!$R$82+'[3]ИА ДЭ'!$R$83+[3]Баланс!$C$16</f>
        <v>70574797.414000005</v>
      </c>
      <c r="L5" s="10">
        <f>[4]Баланс!$C$15+'[4]ИА ДЭ'!$R$82+'[4]ИА ДЭ'!$R$83</f>
        <v>79719439.717999995</v>
      </c>
      <c r="M5" s="10">
        <f>[5]Услуги!$R$336+'[5]ИА ДЭ'!$R$82+'[5]ИА ДЭ'!$R$83</f>
        <v>80956724.033999994</v>
      </c>
      <c r="N5" s="10">
        <f>[6]Услуги!$R$336+'[6]ИА ДЭ'!$R$82+'[6]ИА ДЭ'!$R$83</f>
        <v>79228959.751000002</v>
      </c>
      <c r="O5" s="15">
        <f>N5/M5</f>
        <v>0.97865817443064551</v>
      </c>
      <c r="Q5" s="13">
        <f>AVERAGE(C5:N5)</f>
        <v>77766281.942833349</v>
      </c>
    </row>
    <row r="6" spans="1:17" x14ac:dyDescent="0.25">
      <c r="A6" s="21"/>
      <c r="B6" s="6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5"/>
      <c r="Q6" s="13"/>
    </row>
    <row r="7" spans="1:17" x14ac:dyDescent="0.25">
      <c r="A7" s="21"/>
      <c r="B7" s="6" t="s">
        <v>18</v>
      </c>
      <c r="C7" s="10">
        <v>151648.97</v>
      </c>
      <c r="D7" s="10">
        <v>117884</v>
      </c>
      <c r="E7" s="10">
        <v>73566.226999999999</v>
      </c>
      <c r="F7" s="10">
        <v>60686</v>
      </c>
      <c r="G7" s="10">
        <v>34076.423999999999</v>
      </c>
      <c r="H7" s="10">
        <f>'[7]ИА ДЭ'!$R$86+'[7]ИА ДЭ'!$R$85</f>
        <v>82958.350999999995</v>
      </c>
      <c r="I7" s="10">
        <f>'[1]ИА ДЭ'!$R$86+'[1]ИА ДЭ'!$R$85</f>
        <v>72356.941999999995</v>
      </c>
      <c r="J7" s="10">
        <f>'[2]ИА ДЭ'!$R$84+'[2]ИА ДЭ'!$R$85</f>
        <v>71641.755000000005</v>
      </c>
      <c r="K7" s="10">
        <f>'[3]ИА ДЭ'!$R$84+'[3]ИА ДЭ'!$R$85</f>
        <v>56044.586000000003</v>
      </c>
      <c r="L7" s="10">
        <f>'[4]ИА ДЭ'!$R$84+'[4]ИА ДЭ'!$R$85</f>
        <v>81774.281999999992</v>
      </c>
      <c r="M7" s="10">
        <f>'[5]ИА ДЭ'!$R$84+'[5]ИА ДЭ'!$R$85</f>
        <v>115846.96599999999</v>
      </c>
      <c r="N7" s="10">
        <f>'[6]ИА ДЭ'!$R$84+'[6]ИА ДЭ'!$R$85</f>
        <v>86978.248999999996</v>
      </c>
      <c r="O7" s="15">
        <f t="shared" ref="O7:O8" si="0">N7/M7</f>
        <v>0.75080299470251133</v>
      </c>
      <c r="Q7" s="13">
        <f t="shared" ref="Q7:Q8" si="1">AVERAGE(C7:N7)</f>
        <v>83788.562666666665</v>
      </c>
    </row>
    <row r="8" spans="1:17" x14ac:dyDescent="0.25">
      <c r="A8" s="21"/>
      <c r="B8" s="6" t="s">
        <v>19</v>
      </c>
      <c r="C8" s="10">
        <v>9222</v>
      </c>
      <c r="D8" s="10">
        <v>8519</v>
      </c>
      <c r="E8" s="10">
        <v>9048</v>
      </c>
      <c r="F8" s="10">
        <v>6758</v>
      </c>
      <c r="G8" s="10">
        <v>5077</v>
      </c>
      <c r="H8" s="10">
        <v>3374</v>
      </c>
      <c r="I8" s="10">
        <v>5250</v>
      </c>
      <c r="J8" s="10">
        <f>'[2]ИА ДЭ'!$R$86</f>
        <v>3459</v>
      </c>
      <c r="K8" s="10">
        <f>'[3]ИА ДЭ'!$R$86</f>
        <v>5571</v>
      </c>
      <c r="L8" s="10">
        <f>'[4]ИА ДЭ'!$R$86</f>
        <v>7354</v>
      </c>
      <c r="M8" s="10">
        <f>'[5]ИА ДЭ'!$R$86</f>
        <v>9250</v>
      </c>
      <c r="N8" s="10">
        <f>'[6]ИА ДЭ'!$R$86</f>
        <v>8463</v>
      </c>
      <c r="O8" s="15">
        <f t="shared" si="0"/>
        <v>0.91491891891891897</v>
      </c>
      <c r="Q8" s="13">
        <f t="shared" si="1"/>
        <v>6778.75</v>
      </c>
    </row>
    <row r="9" spans="1:17" x14ac:dyDescent="0.25">
      <c r="A9" s="21"/>
      <c r="B9" s="22" t="s">
        <v>20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7" x14ac:dyDescent="0.25">
      <c r="A10" s="21"/>
      <c r="B10" s="8"/>
      <c r="C10" s="10"/>
      <c r="D10" s="10"/>
      <c r="E10" s="7"/>
      <c r="F10" s="7"/>
      <c r="G10" s="7"/>
      <c r="H10" s="7"/>
      <c r="I10" s="7"/>
      <c r="J10" s="7"/>
      <c r="K10" s="7"/>
      <c r="L10" s="10"/>
      <c r="M10" s="10"/>
      <c r="N10" s="10"/>
    </row>
    <row r="11" spans="1:17" x14ac:dyDescent="0.25">
      <c r="A11" s="25" t="s">
        <v>21</v>
      </c>
      <c r="B11" s="26"/>
      <c r="C11" s="9">
        <f t="shared" ref="C11:N11" si="2">SUM(C5:C8,C10)</f>
        <v>84994100.000000015</v>
      </c>
      <c r="D11" s="9">
        <f t="shared" si="2"/>
        <v>77624866.484000012</v>
      </c>
      <c r="E11" s="9">
        <f t="shared" si="2"/>
        <v>89411536</v>
      </c>
      <c r="F11" s="9">
        <f t="shared" si="2"/>
        <v>79288110.582000002</v>
      </c>
      <c r="G11" s="9">
        <f t="shared" si="2"/>
        <v>76764201</v>
      </c>
      <c r="H11" s="9">
        <f t="shared" si="2"/>
        <v>69476481.999999985</v>
      </c>
      <c r="I11" s="9">
        <f t="shared" si="2"/>
        <v>70908647</v>
      </c>
      <c r="J11" s="9">
        <f t="shared" si="2"/>
        <v>74963045</v>
      </c>
      <c r="K11" s="9">
        <f t="shared" si="2"/>
        <v>70636413</v>
      </c>
      <c r="L11" s="9">
        <f t="shared" si="2"/>
        <v>79808568</v>
      </c>
      <c r="M11" s="9">
        <f t="shared" si="2"/>
        <v>81081821</v>
      </c>
      <c r="N11" s="9">
        <f t="shared" si="2"/>
        <v>79324401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"/>
  <sheetViews>
    <sheetView zoomScale="85" zoomScaleNormal="85" workbookViewId="0">
      <selection activeCell="W5" sqref="W5:W8"/>
    </sheetView>
  </sheetViews>
  <sheetFormatPr defaultRowHeight="15" x14ac:dyDescent="0.25"/>
  <cols>
    <col min="1" max="1" width="19.85546875" customWidth="1"/>
    <col min="2" max="2" width="15.85546875" customWidth="1"/>
    <col min="3" max="3" width="22.28515625" customWidth="1"/>
    <col min="4" max="4" width="16.42578125" customWidth="1"/>
    <col min="5" max="5" width="16.5703125" customWidth="1"/>
    <col min="6" max="6" width="21.140625" customWidth="1"/>
    <col min="7" max="7" width="21.140625" hidden="1" customWidth="1"/>
    <col min="8" max="8" width="19.85546875" customWidth="1"/>
    <col min="9" max="9" width="19.85546875" hidden="1" customWidth="1"/>
    <col min="10" max="10" width="17" customWidth="1"/>
    <col min="11" max="11" width="17" hidden="1" customWidth="1"/>
    <col min="12" max="12" width="19.42578125" customWidth="1"/>
    <col min="13" max="13" width="19.42578125" hidden="1" customWidth="1"/>
    <col min="14" max="14" width="18.5703125" customWidth="1"/>
    <col min="15" max="15" width="18.5703125" hidden="1" customWidth="1"/>
    <col min="16" max="16" width="15.7109375" customWidth="1"/>
    <col min="17" max="17" width="15.7109375" hidden="1" customWidth="1"/>
    <col min="18" max="18" width="15.5703125" customWidth="1"/>
    <col min="19" max="19" width="15.5703125" hidden="1" customWidth="1"/>
    <col min="20" max="20" width="17.42578125" customWidth="1"/>
    <col min="21" max="21" width="17.42578125" hidden="1" customWidth="1"/>
    <col min="22" max="22" width="18.5703125" customWidth="1"/>
    <col min="23" max="23" width="9.140625" style="15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3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</row>
    <row r="4" spans="1:23" x14ac:dyDescent="0.25">
      <c r="A4" s="20" t="s">
        <v>29</v>
      </c>
      <c r="B4" s="22" t="s">
        <v>33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4"/>
    </row>
    <row r="5" spans="1:23" x14ac:dyDescent="0.25">
      <c r="A5" s="21"/>
      <c r="B5" s="6" t="s">
        <v>16</v>
      </c>
      <c r="C5" s="10">
        <f>67090819.472+208176+74550</f>
        <v>67373545.472000003</v>
      </c>
      <c r="D5" s="10">
        <f>68411760.66+73666+126411</f>
        <v>68611837.659999996</v>
      </c>
      <c r="E5" s="10">
        <f>70460607.665+252558</f>
        <v>70713165.665000007</v>
      </c>
      <c r="F5" s="10">
        <f>68747706.126+230983</f>
        <v>68978689.126000002</v>
      </c>
      <c r="G5" s="10">
        <v>0.96849787923184383</v>
      </c>
      <c r="H5" s="10">
        <f>63710223.206+138046</f>
        <v>63848269.206</v>
      </c>
      <c r="I5" s="10">
        <v>0.9044002166341516</v>
      </c>
      <c r="J5" s="10">
        <f>60487637.026+25352</f>
        <v>60512989.026000001</v>
      </c>
      <c r="K5" s="10">
        <v>1.0207650569466782</v>
      </c>
      <c r="L5" s="10">
        <f>63862559.891+88628</f>
        <v>63951187.891000003</v>
      </c>
      <c r="M5" s="10">
        <v>1.057275795804749</v>
      </c>
      <c r="N5" s="10">
        <f>67841950.587+61300</f>
        <v>67903250.586999997</v>
      </c>
      <c r="O5" s="10">
        <v>0.94240532472237049</v>
      </c>
      <c r="P5" s="10">
        <f>66133949.143+49116</f>
        <v>66183065.142999999</v>
      </c>
      <c r="Q5" s="10">
        <v>1.1295737662604464</v>
      </c>
      <c r="R5" s="10">
        <f>74101992.333+80644+55664</f>
        <v>74238300.333000004</v>
      </c>
      <c r="S5" s="10">
        <v>1.0155204843433017</v>
      </c>
      <c r="T5" s="10">
        <f>77126626.858+206999</f>
        <v>77333625.857999995</v>
      </c>
      <c r="U5" s="10">
        <v>0.97865817443064551</v>
      </c>
      <c r="V5" s="10">
        <f>'[8]Курганская область'!$U$25+275449</f>
        <v>79653904.445999995</v>
      </c>
      <c r="W5" s="15" t="e">
        <f>#REF!/'2020'!V5</f>
        <v>#REF!</v>
      </c>
    </row>
    <row r="6" spans="1:23" x14ac:dyDescent="0.25">
      <c r="A6" s="21"/>
      <c r="B6" s="6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x14ac:dyDescent="0.25">
      <c r="A7" s="21"/>
      <c r="B7" s="6" t="s">
        <v>18</v>
      </c>
      <c r="C7" s="10">
        <v>97610</v>
      </c>
      <c r="D7" s="10">
        <v>84640.34</v>
      </c>
      <c r="E7" s="10">
        <v>82039.3</v>
      </c>
      <c r="F7" s="10">
        <v>59955.873999999996</v>
      </c>
      <c r="G7" s="10">
        <v>0.56152035065748274</v>
      </c>
      <c r="H7" s="10">
        <v>94343.793999999994</v>
      </c>
      <c r="I7" s="10">
        <v>2.4344793632101771</v>
      </c>
      <c r="J7" s="10">
        <v>44131.974000000002</v>
      </c>
      <c r="K7" s="10">
        <v>0.87220805534092638</v>
      </c>
      <c r="L7" s="10">
        <v>25439</v>
      </c>
      <c r="M7" s="10">
        <v>0.99011584817943254</v>
      </c>
      <c r="N7" s="10">
        <v>41266.413</v>
      </c>
      <c r="O7" s="10">
        <v>0.7822894065060243</v>
      </c>
      <c r="P7" s="10">
        <v>60853.857000000004</v>
      </c>
      <c r="Q7" s="10">
        <v>1.4590933368657588</v>
      </c>
      <c r="R7" s="10">
        <v>71830.667000000001</v>
      </c>
      <c r="S7" s="10">
        <v>1.4166674798807772</v>
      </c>
      <c r="T7" s="10">
        <v>82472.142000000007</v>
      </c>
      <c r="U7" s="10">
        <v>0.75080299470251133</v>
      </c>
      <c r="V7" s="10">
        <v>76561.55</v>
      </c>
      <c r="W7" s="15" t="e">
        <f>#REF!/'2020'!V7</f>
        <v>#REF!</v>
      </c>
    </row>
    <row r="8" spans="1:23" x14ac:dyDescent="0.25">
      <c r="A8" s="21"/>
      <c r="B8" s="6" t="s">
        <v>19</v>
      </c>
      <c r="C8" s="10">
        <v>10637</v>
      </c>
      <c r="D8" s="10">
        <v>9219</v>
      </c>
      <c r="E8" s="10">
        <v>6569</v>
      </c>
      <c r="F8" s="10">
        <v>6661</v>
      </c>
      <c r="G8" s="10">
        <v>0.75125776857058302</v>
      </c>
      <c r="H8" s="10">
        <v>3054</v>
      </c>
      <c r="I8" s="10">
        <v>0.66456568839866059</v>
      </c>
      <c r="J8" s="10">
        <v>2864</v>
      </c>
      <c r="K8" s="10">
        <v>1.5560165975103735</v>
      </c>
      <c r="L8" s="10">
        <v>3150</v>
      </c>
      <c r="M8" s="10">
        <v>0.65885714285714281</v>
      </c>
      <c r="N8" s="10">
        <v>3209</v>
      </c>
      <c r="O8" s="10">
        <v>1.6105810928013877</v>
      </c>
      <c r="P8" s="10">
        <v>4211</v>
      </c>
      <c r="Q8" s="10">
        <v>1.3200502602764315</v>
      </c>
      <c r="R8" s="10">
        <v>7168</v>
      </c>
      <c r="S8" s="10">
        <v>1.2578188740821321</v>
      </c>
      <c r="T8" s="10">
        <v>8128</v>
      </c>
      <c r="U8" s="10">
        <v>0.91491891891891897</v>
      </c>
      <c r="V8" s="10">
        <v>9761</v>
      </c>
      <c r="W8" s="15" t="e">
        <f>#REF!/'2020'!V8</f>
        <v>#REF!</v>
      </c>
    </row>
    <row r="9" spans="1:23" x14ac:dyDescent="0.25">
      <c r="A9" s="21"/>
      <c r="B9" s="22" t="s">
        <v>34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</row>
    <row r="10" spans="1:23" x14ac:dyDescent="0.25">
      <c r="A10" s="21"/>
      <c r="B10" s="8"/>
      <c r="C10" s="10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10"/>
      <c r="T10" s="10"/>
      <c r="U10" s="10"/>
      <c r="V10" s="10"/>
    </row>
    <row r="11" spans="1:23" x14ac:dyDescent="0.25">
      <c r="A11" s="25" t="s">
        <v>21</v>
      </c>
      <c r="B11" s="26"/>
      <c r="C11" s="9">
        <f t="shared" ref="C11:V11" si="0">SUM(C5:C8,C10)</f>
        <v>67481792.472000003</v>
      </c>
      <c r="D11" s="9">
        <f t="shared" si="0"/>
        <v>68705697</v>
      </c>
      <c r="E11" s="9">
        <f t="shared" si="0"/>
        <v>70801773.965000004</v>
      </c>
      <c r="F11" s="9">
        <f t="shared" si="0"/>
        <v>69045306</v>
      </c>
      <c r="G11" s="9"/>
      <c r="H11" s="9">
        <f t="shared" si="0"/>
        <v>63945667</v>
      </c>
      <c r="I11" s="9"/>
      <c r="J11" s="9">
        <f t="shared" si="0"/>
        <v>60559985</v>
      </c>
      <c r="K11" s="9"/>
      <c r="L11" s="9">
        <f t="shared" si="0"/>
        <v>63979776.891000003</v>
      </c>
      <c r="M11" s="9"/>
      <c r="N11" s="9">
        <f t="shared" si="0"/>
        <v>67947726</v>
      </c>
      <c r="O11" s="9"/>
      <c r="P11" s="9">
        <f t="shared" si="0"/>
        <v>66248130</v>
      </c>
      <c r="Q11" s="9"/>
      <c r="R11" s="9">
        <f t="shared" si="0"/>
        <v>74317299</v>
      </c>
      <c r="S11" s="9"/>
      <c r="T11" s="9">
        <f t="shared" si="0"/>
        <v>77424226</v>
      </c>
      <c r="U11" s="9"/>
      <c r="V11" s="9">
        <f t="shared" si="0"/>
        <v>79740226.995999992</v>
      </c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2013</vt:lpstr>
      <vt:lpstr>2014</vt:lpstr>
      <vt:lpstr>2015</vt:lpstr>
      <vt:lpstr>2016</vt:lpstr>
      <vt:lpstr>Лист3</vt:lpstr>
      <vt:lpstr>2017</vt:lpstr>
      <vt:lpstr>2018</vt:lpstr>
      <vt:lpstr>2019</vt:lpstr>
      <vt:lpstr>2020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2025-01-23T07:52:18Z</dcterms:modified>
</cp:coreProperties>
</file>