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Отдел реализации\для сайта\_ТСО\по факту\"/>
    </mc:Choice>
  </mc:AlternateContent>
  <bookViews>
    <workbookView xWindow="-15" yWindow="345" windowWidth="10200" windowHeight="7395" firstSheet="8" activeTab="11"/>
  </bookViews>
  <sheets>
    <sheet name="2013" sheetId="15" state="hidden" r:id="rId1"/>
    <sheet name="2014" sheetId="16" state="hidden" r:id="rId2"/>
    <sheet name="2015" sheetId="17" state="hidden" r:id="rId3"/>
    <sheet name="2016" sheetId="12" state="hidden" r:id="rId4"/>
    <sheet name="2017" sheetId="18" state="hidden" r:id="rId5"/>
    <sheet name="2018" sheetId="19" state="hidden" r:id="rId6"/>
    <sheet name="2019" sheetId="20" state="hidden" r:id="rId7"/>
    <sheet name="2020" sheetId="21" state="hidden" r:id="rId8"/>
    <sheet name="2021" sheetId="22" r:id="rId9"/>
    <sheet name="2022" sheetId="23" r:id="rId10"/>
    <sheet name="2023" sheetId="24" r:id="rId11"/>
    <sheet name="2024" sheetId="25" r:id="rId12"/>
  </sheets>
  <calcPr calcId="162913"/>
</workbook>
</file>

<file path=xl/calcChain.xml><?xml version="1.0" encoding="utf-8"?>
<calcChain xmlns="http://schemas.openxmlformats.org/spreadsheetml/2006/main">
  <c r="N11" i="25" l="1"/>
  <c r="M11" i="25"/>
  <c r="L11" i="25"/>
  <c r="K11" i="25"/>
  <c r="J11" i="25"/>
  <c r="I11" i="25"/>
  <c r="H11" i="25"/>
  <c r="G11" i="25"/>
  <c r="F11" i="25"/>
  <c r="E11" i="25"/>
  <c r="D11" i="25"/>
  <c r="C11" i="25"/>
  <c r="AH10" i="22" l="1"/>
  <c r="AH8" i="22"/>
  <c r="AH7" i="22"/>
  <c r="AH6" i="22"/>
  <c r="AH5" i="22"/>
  <c r="I11" i="24"/>
  <c r="H11" i="24"/>
  <c r="N11" i="24"/>
  <c r="M11" i="24"/>
  <c r="L11" i="24"/>
  <c r="K11" i="24"/>
  <c r="J11" i="24"/>
  <c r="G11" i="24"/>
  <c r="F11" i="24"/>
  <c r="E11" i="24"/>
  <c r="D11" i="24"/>
  <c r="AH9" i="22"/>
  <c r="Q7" i="23"/>
  <c r="Q6" i="23"/>
  <c r="Q5" i="23"/>
  <c r="M8" i="23"/>
  <c r="M7" i="23"/>
  <c r="M5" i="23"/>
  <c r="M6" i="23"/>
  <c r="J7" i="23"/>
  <c r="J8" i="23"/>
  <c r="J6" i="23"/>
  <c r="J5" i="23"/>
  <c r="G8" i="23"/>
  <c r="G7" i="23"/>
  <c r="G6" i="23"/>
  <c r="G5" i="23"/>
  <c r="D10" i="23"/>
  <c r="D8" i="23"/>
  <c r="D7" i="23"/>
  <c r="D6" i="23"/>
  <c r="D5" i="23"/>
  <c r="D11" i="23"/>
  <c r="W10" i="21"/>
  <c r="W8" i="21"/>
  <c r="W7" i="21"/>
  <c r="W6" i="21"/>
  <c r="W5" i="21"/>
  <c r="Q11" i="23"/>
  <c r="M11" i="23"/>
  <c r="X11" i="23"/>
  <c r="T11" i="23"/>
  <c r="AR11" i="23"/>
  <c r="AN11" i="23"/>
  <c r="AJ11" i="23"/>
  <c r="AF11" i="23"/>
  <c r="AB11" i="23"/>
  <c r="J11" i="23"/>
  <c r="G11" i="23"/>
  <c r="AG8" i="22"/>
  <c r="AG7" i="22"/>
  <c r="AG6" i="22"/>
  <c r="AG5" i="22"/>
  <c r="AF8" i="22"/>
  <c r="AD10" i="22"/>
  <c r="AD8" i="22"/>
  <c r="AD7" i="22"/>
  <c r="AD6" i="22"/>
  <c r="AD5" i="22"/>
  <c r="AA8" i="22"/>
  <c r="AA7" i="22"/>
  <c r="AA6" i="22"/>
  <c r="AA5" i="22"/>
  <c r="X8" i="22"/>
  <c r="X7" i="22"/>
  <c r="X10" i="22"/>
  <c r="X6" i="22"/>
  <c r="X5" i="22"/>
  <c r="U8" i="22"/>
  <c r="U7" i="22"/>
  <c r="U6" i="22"/>
  <c r="U5" i="22"/>
  <c r="U10" i="22"/>
  <c r="R8" i="22"/>
  <c r="R7" i="22"/>
  <c r="O8" i="22"/>
  <c r="O7" i="22"/>
  <c r="G8" i="22"/>
  <c r="G7" i="22"/>
  <c r="G5" i="22"/>
  <c r="E8" i="22"/>
  <c r="E7" i="22"/>
  <c r="E5" i="22"/>
  <c r="C8" i="22"/>
  <c r="C7" i="22"/>
  <c r="C5" i="22"/>
  <c r="AD11" i="22"/>
  <c r="AA11" i="22"/>
  <c r="X11" i="22"/>
  <c r="O11" i="22"/>
  <c r="L11" i="22"/>
  <c r="E11" i="22"/>
  <c r="C11" i="22"/>
  <c r="AG11" i="22"/>
  <c r="U11" i="22"/>
  <c r="R11" i="22"/>
  <c r="I11" i="22"/>
  <c r="G11" i="22"/>
  <c r="V8" i="21"/>
  <c r="V7" i="21"/>
  <c r="V6" i="21"/>
  <c r="V5" i="21"/>
  <c r="O6" i="20"/>
  <c r="R8" i="21"/>
  <c r="R7" i="21"/>
  <c r="R5" i="21"/>
  <c r="P8" i="21"/>
  <c r="P7" i="21"/>
  <c r="P5" i="21"/>
  <c r="P10" i="21"/>
  <c r="N8" i="21"/>
  <c r="N7" i="21"/>
  <c r="N5" i="21"/>
  <c r="N10" i="21"/>
  <c r="L8" i="21"/>
  <c r="L7" i="21"/>
  <c r="L5" i="21"/>
  <c r="J8" i="21"/>
  <c r="J7" i="21"/>
  <c r="J5" i="21"/>
  <c r="J10" i="21"/>
  <c r="H8" i="21"/>
  <c r="H7" i="21"/>
  <c r="H5" i="21"/>
  <c r="H10" i="21"/>
  <c r="F8" i="21"/>
  <c r="F7" i="21"/>
  <c r="F5" i="21"/>
  <c r="F10" i="21"/>
  <c r="E8" i="21"/>
  <c r="E7" i="21"/>
  <c r="E5" i="21"/>
  <c r="E10" i="21"/>
  <c r="D8" i="21"/>
  <c r="D7" i="21"/>
  <c r="D5" i="21"/>
  <c r="D10" i="21"/>
  <c r="Q6" i="20"/>
  <c r="C8" i="21"/>
  <c r="C7" i="21"/>
  <c r="C5" i="21"/>
  <c r="C10" i="21"/>
  <c r="C11" i="21"/>
  <c r="D11" i="21"/>
  <c r="E11" i="21"/>
  <c r="F11" i="21"/>
  <c r="H11" i="21"/>
  <c r="J11" i="21"/>
  <c r="L11" i="21"/>
  <c r="N11" i="21"/>
  <c r="P11" i="21"/>
  <c r="R11" i="21"/>
  <c r="T11" i="21"/>
  <c r="V11" i="21"/>
  <c r="N8" i="20"/>
  <c r="N7" i="20"/>
  <c r="N5" i="20"/>
  <c r="N10" i="20"/>
  <c r="M8" i="20"/>
  <c r="O8" i="20"/>
  <c r="M7" i="20"/>
  <c r="O7" i="20"/>
  <c r="M5" i="20"/>
  <c r="O5" i="20"/>
  <c r="M10" i="20"/>
  <c r="O10" i="20"/>
  <c r="L8" i="20"/>
  <c r="L7" i="20"/>
  <c r="L5" i="20"/>
  <c r="L10" i="20"/>
  <c r="K8" i="20"/>
  <c r="K7" i="20"/>
  <c r="K5" i="20"/>
  <c r="K10" i="20"/>
  <c r="J8" i="20"/>
  <c r="J7" i="20"/>
  <c r="J5" i="20"/>
  <c r="J10" i="20"/>
  <c r="I8" i="20"/>
  <c r="I7" i="20"/>
  <c r="I5" i="20"/>
  <c r="I10" i="20"/>
  <c r="H8" i="20"/>
  <c r="H7" i="20"/>
  <c r="H5" i="20"/>
  <c r="H10" i="20"/>
  <c r="G8" i="20"/>
  <c r="G7" i="20"/>
  <c r="G5" i="20"/>
  <c r="G10" i="20"/>
  <c r="F8" i="20"/>
  <c r="F7" i="20"/>
  <c r="F5" i="20"/>
  <c r="F10" i="20"/>
  <c r="E8" i="20"/>
  <c r="E7" i="20"/>
  <c r="E5" i="20"/>
  <c r="E10" i="20"/>
  <c r="D8" i="20"/>
  <c r="D7" i="20"/>
  <c r="D5" i="20"/>
  <c r="D10" i="20"/>
  <c r="C8" i="20"/>
  <c r="Q8" i="20"/>
  <c r="C7" i="20"/>
  <c r="Q7" i="20"/>
  <c r="C5" i="20"/>
  <c r="Q5" i="20"/>
  <c r="C10" i="20"/>
  <c r="Q10" i="20"/>
  <c r="N14" i="20"/>
  <c r="N15" i="20"/>
  <c r="M14" i="20"/>
  <c r="M15" i="20"/>
  <c r="L14" i="20"/>
  <c r="L15" i="20"/>
  <c r="K14" i="20"/>
  <c r="K15" i="20"/>
  <c r="J14" i="20"/>
  <c r="J15" i="20"/>
  <c r="I14" i="20"/>
  <c r="I15" i="20"/>
  <c r="H14" i="20"/>
  <c r="H15" i="20"/>
  <c r="G14" i="20"/>
  <c r="G15" i="20"/>
  <c r="F14" i="20"/>
  <c r="F15" i="20"/>
  <c r="E14" i="20"/>
  <c r="E15" i="20"/>
  <c r="D14" i="20"/>
  <c r="D15" i="20"/>
  <c r="C14" i="20"/>
  <c r="C15" i="20"/>
  <c r="N8" i="19"/>
  <c r="N7" i="19"/>
  <c r="N5" i="19"/>
  <c r="N10" i="19"/>
  <c r="M8" i="19"/>
  <c r="M7" i="19"/>
  <c r="M5" i="19"/>
  <c r="L10" i="19"/>
  <c r="M10" i="19"/>
  <c r="L8" i="19"/>
  <c r="L7" i="19"/>
  <c r="L5" i="19"/>
  <c r="K8" i="19"/>
  <c r="K7" i="19"/>
  <c r="K5" i="19"/>
  <c r="K10" i="19"/>
  <c r="J8" i="19"/>
  <c r="J7" i="19"/>
  <c r="J5" i="19"/>
  <c r="J10" i="19"/>
  <c r="I8" i="19"/>
  <c r="I7" i="19"/>
  <c r="I5" i="19"/>
  <c r="I10" i="19"/>
  <c r="H8" i="19"/>
  <c r="H7" i="19"/>
  <c r="H5" i="19"/>
  <c r="H10" i="19"/>
  <c r="G8" i="19"/>
  <c r="G7" i="19"/>
  <c r="G5" i="19"/>
  <c r="G10" i="19"/>
  <c r="F10" i="19"/>
  <c r="F8" i="19"/>
  <c r="F7" i="19"/>
  <c r="F5" i="19"/>
  <c r="E8" i="19"/>
  <c r="E7" i="19"/>
  <c r="E5" i="19"/>
  <c r="E10" i="19"/>
  <c r="D8" i="19"/>
  <c r="D7" i="19"/>
  <c r="D5" i="19"/>
  <c r="D10" i="19"/>
  <c r="C10" i="19"/>
  <c r="C8" i="19"/>
  <c r="C7" i="19"/>
  <c r="C5" i="19"/>
  <c r="K14" i="19"/>
  <c r="K15" i="19"/>
  <c r="G14" i="19"/>
  <c r="G15" i="19"/>
  <c r="C14" i="19"/>
  <c r="C15" i="19"/>
  <c r="N14" i="19"/>
  <c r="N15" i="19"/>
  <c r="M14" i="19"/>
  <c r="M15" i="19"/>
  <c r="L14" i="19"/>
  <c r="L15" i="19"/>
  <c r="J14" i="19"/>
  <c r="J15" i="19"/>
  <c r="I14" i="19"/>
  <c r="I15" i="19"/>
  <c r="H14" i="19"/>
  <c r="H15" i="19"/>
  <c r="F14" i="19"/>
  <c r="F15" i="19"/>
  <c r="E14" i="19"/>
  <c r="E15" i="19"/>
  <c r="D14" i="19"/>
  <c r="D15" i="19"/>
  <c r="N9" i="18"/>
  <c r="N8" i="18"/>
  <c r="N6" i="18"/>
  <c r="N11" i="18"/>
  <c r="M11" i="18"/>
  <c r="M9" i="18"/>
  <c r="M8" i="18"/>
  <c r="M6" i="18"/>
  <c r="L9" i="18"/>
  <c r="L8" i="18"/>
  <c r="L6" i="18"/>
  <c r="L11" i="18"/>
  <c r="K9" i="18"/>
  <c r="K8" i="18"/>
  <c r="K6" i="18"/>
  <c r="K11" i="18"/>
  <c r="I9" i="18"/>
  <c r="I8" i="18"/>
  <c r="I6" i="18"/>
  <c r="I11" i="18"/>
  <c r="J11" i="18"/>
  <c r="J9" i="18"/>
  <c r="J8" i="18"/>
  <c r="J6" i="18"/>
  <c r="J7" i="18"/>
  <c r="J15" i="18"/>
  <c r="J16" i="18"/>
  <c r="I15" i="18"/>
  <c r="I16" i="18"/>
  <c r="H9" i="18"/>
  <c r="H8" i="18"/>
  <c r="H6" i="18"/>
  <c r="G9" i="18"/>
  <c r="G8" i="18"/>
  <c r="G6" i="18"/>
  <c r="F9" i="18"/>
  <c r="F8" i="18"/>
  <c r="F6" i="18"/>
  <c r="E9" i="18"/>
  <c r="E8" i="18"/>
  <c r="E6" i="18"/>
  <c r="D9" i="18"/>
  <c r="D8" i="18"/>
  <c r="D6" i="18"/>
  <c r="C9" i="18"/>
  <c r="C8" i="18"/>
  <c r="C6" i="18"/>
  <c r="G11" i="18"/>
  <c r="H11" i="18"/>
  <c r="G15" i="18"/>
  <c r="G16" i="18"/>
  <c r="F11" i="18"/>
  <c r="E11" i="18"/>
  <c r="D11" i="18"/>
  <c r="C11" i="18"/>
  <c r="N15" i="18"/>
  <c r="N16" i="18"/>
  <c r="M15" i="18"/>
  <c r="M16" i="18"/>
  <c r="L15" i="18"/>
  <c r="L16" i="18"/>
  <c r="K15" i="18"/>
  <c r="K16" i="18"/>
  <c r="H15" i="18"/>
  <c r="H16" i="18"/>
  <c r="F15" i="18"/>
  <c r="F16" i="18"/>
  <c r="E15" i="18"/>
  <c r="E16" i="18"/>
  <c r="D15" i="18"/>
  <c r="D16" i="18"/>
  <c r="C15" i="18"/>
  <c r="C16" i="18"/>
  <c r="D15" i="12"/>
  <c r="E15" i="12"/>
  <c r="F15" i="12"/>
  <c r="G15" i="12"/>
  <c r="H15" i="12"/>
  <c r="I15" i="12"/>
  <c r="J15" i="12"/>
  <c r="K15" i="12"/>
  <c r="L15" i="12"/>
  <c r="M15" i="12"/>
  <c r="N15" i="12"/>
  <c r="C15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1" i="15"/>
  <c r="N12" i="15"/>
  <c r="M11" i="15"/>
  <c r="M12" i="15"/>
  <c r="L11" i="15"/>
  <c r="L12" i="15"/>
  <c r="K11" i="15"/>
  <c r="K12" i="15"/>
  <c r="G11" i="15"/>
  <c r="G12" i="15"/>
  <c r="J11" i="15"/>
  <c r="J12" i="15"/>
  <c r="I11" i="15"/>
  <c r="I12" i="15"/>
  <c r="H11" i="15"/>
  <c r="H12" i="15"/>
  <c r="N12" i="17"/>
  <c r="N13" i="17"/>
  <c r="M12" i="17"/>
  <c r="M13" i="17"/>
  <c r="L12" i="17"/>
  <c r="L13" i="17"/>
  <c r="K12" i="17"/>
  <c r="K13" i="17"/>
  <c r="J12" i="17"/>
  <c r="J13" i="17"/>
  <c r="I12" i="17"/>
  <c r="I13" i="17"/>
  <c r="H12" i="17"/>
  <c r="H13" i="17"/>
  <c r="G12" i="17"/>
  <c r="G13" i="17"/>
  <c r="F12" i="17"/>
  <c r="F13" i="17"/>
  <c r="E12" i="17"/>
  <c r="E13" i="17"/>
  <c r="D12" i="17"/>
  <c r="D13" i="17"/>
  <c r="C12" i="17"/>
  <c r="C13" i="17"/>
  <c r="N12" i="16"/>
  <c r="N13" i="16"/>
  <c r="M12" i="16"/>
  <c r="M13" i="16"/>
  <c r="L12" i="16"/>
  <c r="L13" i="16"/>
  <c r="K12" i="16"/>
  <c r="K13" i="16"/>
  <c r="J12" i="16"/>
  <c r="J13" i="16"/>
  <c r="I12" i="16"/>
  <c r="I13" i="16"/>
  <c r="H12" i="16"/>
  <c r="H13" i="16"/>
  <c r="G12" i="16"/>
  <c r="G13" i="16"/>
  <c r="F12" i="16"/>
  <c r="F13" i="16"/>
  <c r="E12" i="16"/>
  <c r="E13" i="16"/>
  <c r="D12" i="16"/>
  <c r="D13" i="16"/>
  <c r="C12" i="16"/>
  <c r="C13" i="16"/>
  <c r="F11" i="15"/>
  <c r="F12" i="15"/>
  <c r="E11" i="15"/>
  <c r="E12" i="15"/>
  <c r="D11" i="15"/>
  <c r="D12" i="15"/>
  <c r="C11" i="15"/>
  <c r="C12" i="15"/>
  <c r="C11" i="24" l="1"/>
</calcChain>
</file>

<file path=xl/sharedStrings.xml><?xml version="1.0" encoding="utf-8"?>
<sst xmlns="http://schemas.openxmlformats.org/spreadsheetml/2006/main" count="303" uniqueCount="40">
  <si>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</si>
  <si>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</si>
  <si>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</si>
  <si>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</si>
  <si>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</si>
  <si>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</si>
  <si>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</si>
  <si>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</si>
  <si>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</si>
  <si>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</si>
  <si>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</si>
  <si>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</si>
  <si>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</si>
  <si>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</si>
  <si>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</si>
  <si>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</si>
  <si>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</si>
  <si>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</si>
  <si>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</si>
  <si>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</si>
  <si>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ВСЕГО</t>
  </si>
  <si>
    <t>Прочие потребители, КВтч</t>
  </si>
  <si>
    <t>Население, КВтч</t>
  </si>
  <si>
    <t>ОАО "МРСК Урала" "Челябэнерго"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</si>
  <si>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</si>
  <si>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</si>
  <si>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</si>
  <si>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2016 год</t>
  </si>
  <si>
    <t>ООО "АЭС Инвест"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</si>
  <si>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2017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</si>
  <si>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</si>
  <si>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</si>
  <si>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</si>
  <si>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</si>
  <si>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2020 год</t>
  </si>
  <si>
    <t>Филиал ОАО "МРСК Урала" - "Челябэнерго"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</si>
  <si>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</si>
  <si>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</si>
  <si>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</si>
  <si>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Челябинской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</si>
</sst>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/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/>
    <xf numFmtId="3" fontId="7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3" fontId="2" fillId="0" borderId="0" xfId="0" applyNumberFormat="1" applyFont="1" applyFill="1"/>
    <xf numFmtId="3" fontId="7" fillId="0" borderId="6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G19" sqref="G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8" t="s">
        <v>23</v>
      </c>
      <c r="B4" s="30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ht="22.5" customHeight="1" x14ac:dyDescent="0.25">
      <c r="A5" s="29"/>
      <c r="B5" s="6" t="s">
        <v>14</v>
      </c>
      <c r="C5" s="7">
        <v>114888360</v>
      </c>
      <c r="D5" s="7">
        <v>95459732</v>
      </c>
      <c r="E5" s="7">
        <v>107725399</v>
      </c>
      <c r="F5" s="7">
        <v>98668630</v>
      </c>
      <c r="G5" s="7">
        <v>93013426</v>
      </c>
      <c r="H5" s="7">
        <v>92226118</v>
      </c>
      <c r="I5" s="7">
        <v>96706607</v>
      </c>
      <c r="J5" s="7">
        <v>97383582</v>
      </c>
      <c r="K5" s="7">
        <v>100846110</v>
      </c>
      <c r="L5" s="7">
        <v>109727296</v>
      </c>
      <c r="M5" s="7">
        <v>108058005</v>
      </c>
      <c r="N5" s="7">
        <v>118797595</v>
      </c>
    </row>
    <row r="6" spans="1:14" ht="22.5" customHeight="1" x14ac:dyDescent="0.25">
      <c r="A6" s="29"/>
      <c r="B6" s="6" t="s">
        <v>15</v>
      </c>
      <c r="C6" s="7">
        <v>16880146</v>
      </c>
      <c r="D6" s="7">
        <v>13852891</v>
      </c>
      <c r="E6" s="7">
        <v>14824625</v>
      </c>
      <c r="F6" s="7">
        <v>13339169</v>
      </c>
      <c r="G6" s="7">
        <v>11592937</v>
      </c>
      <c r="H6" s="7">
        <v>11272461</v>
      </c>
      <c r="I6" s="7">
        <v>12978326</v>
      </c>
      <c r="J6" s="7">
        <v>13096271</v>
      </c>
      <c r="K6" s="7">
        <v>19717135</v>
      </c>
      <c r="L6" s="7">
        <v>24583163</v>
      </c>
      <c r="M6" s="7">
        <v>23516995</v>
      </c>
      <c r="N6" s="7">
        <v>28238967</v>
      </c>
    </row>
    <row r="7" spans="1:14" ht="22.5" customHeight="1" x14ac:dyDescent="0.25">
      <c r="A7" s="29"/>
      <c r="B7" s="6" t="s">
        <v>16</v>
      </c>
      <c r="C7" s="7">
        <v>4031033</v>
      </c>
      <c r="D7" s="7">
        <v>3799566</v>
      </c>
      <c r="E7" s="7">
        <v>3852398</v>
      </c>
      <c r="F7" s="7">
        <v>3659707</v>
      </c>
      <c r="G7" s="7">
        <v>2882257</v>
      </c>
      <c r="H7" s="7">
        <v>2803536</v>
      </c>
      <c r="I7" s="7">
        <v>3175606</v>
      </c>
      <c r="J7" s="7">
        <v>3123448</v>
      </c>
      <c r="K7" s="7">
        <v>3060420</v>
      </c>
      <c r="L7" s="7">
        <v>3716506</v>
      </c>
      <c r="M7" s="7">
        <v>3424585</v>
      </c>
      <c r="N7" s="7">
        <v>3807586</v>
      </c>
    </row>
    <row r="8" spans="1:14" ht="22.5" customHeight="1" x14ac:dyDescent="0.25">
      <c r="A8" s="29"/>
      <c r="B8" s="6" t="s">
        <v>17</v>
      </c>
      <c r="C8" s="7">
        <v>1441371</v>
      </c>
      <c r="D8" s="7">
        <v>1299437</v>
      </c>
      <c r="E8" s="7">
        <v>1446938</v>
      </c>
      <c r="F8" s="7">
        <v>1200440</v>
      </c>
      <c r="G8" s="7">
        <v>827300</v>
      </c>
      <c r="H8" s="7">
        <v>753641</v>
      </c>
      <c r="I8" s="7">
        <v>716094</v>
      </c>
      <c r="J8" s="7">
        <v>734156</v>
      </c>
      <c r="K8" s="7">
        <v>830039</v>
      </c>
      <c r="L8" s="7">
        <v>1121088</v>
      </c>
      <c r="M8" s="7">
        <v>1097831</v>
      </c>
      <c r="N8" s="7">
        <v>1278067</v>
      </c>
    </row>
    <row r="9" spans="1:14" ht="22.5" customHeight="1" x14ac:dyDescent="0.25">
      <c r="A9" s="29"/>
      <c r="B9" s="30" t="s">
        <v>22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22.5" customHeight="1" x14ac:dyDescent="0.25">
      <c r="A10" s="29"/>
      <c r="B10" s="8"/>
      <c r="C10" s="7">
        <v>3646941</v>
      </c>
      <c r="D10" s="7">
        <v>3479392</v>
      </c>
      <c r="E10" s="7">
        <v>3335493</v>
      </c>
      <c r="F10" s="7">
        <v>2990357</v>
      </c>
      <c r="G10" s="7">
        <v>3454708</v>
      </c>
      <c r="H10" s="7">
        <v>3098952</v>
      </c>
      <c r="I10" s="7">
        <v>2943003</v>
      </c>
      <c r="J10" s="7">
        <v>2984957</v>
      </c>
      <c r="K10" s="7">
        <v>3531205</v>
      </c>
      <c r="L10" s="7">
        <v>3476911</v>
      </c>
      <c r="M10" s="7">
        <v>3643280</v>
      </c>
      <c r="N10" s="7">
        <v>5417041</v>
      </c>
    </row>
    <row r="11" spans="1:14" ht="22.5" customHeight="1" x14ac:dyDescent="0.25">
      <c r="A11" s="25" t="s">
        <v>18</v>
      </c>
      <c r="B11" s="26"/>
      <c r="C11" s="9">
        <f t="shared" ref="C11:F11" si="0">SUM(C5:C8,C10)</f>
        <v>140887851</v>
      </c>
      <c r="D11" s="9">
        <f t="shared" si="0"/>
        <v>117891018</v>
      </c>
      <c r="E11" s="9">
        <f t="shared" si="0"/>
        <v>131184853</v>
      </c>
      <c r="F11" s="9">
        <f t="shared" si="0"/>
        <v>119858303</v>
      </c>
      <c r="G11" s="9">
        <f t="shared" ref="G11:N11" si="1">SUM(G5:G8,G10)</f>
        <v>111770628</v>
      </c>
      <c r="H11" s="9">
        <f t="shared" si="1"/>
        <v>110154708</v>
      </c>
      <c r="I11" s="9">
        <f t="shared" si="1"/>
        <v>116519636</v>
      </c>
      <c r="J11" s="9">
        <f t="shared" si="1"/>
        <v>117322414</v>
      </c>
      <c r="K11" s="9">
        <f t="shared" si="1"/>
        <v>127984909</v>
      </c>
      <c r="L11" s="9">
        <f t="shared" si="1"/>
        <v>142624964</v>
      </c>
      <c r="M11" s="9">
        <f t="shared" si="1"/>
        <v>139740696</v>
      </c>
      <c r="N11" s="9">
        <f t="shared" si="1"/>
        <v>157539256</v>
      </c>
    </row>
    <row r="12" spans="1:14" s="10" customFormat="1" ht="22.5" customHeight="1" x14ac:dyDescent="0.2">
      <c r="A12" s="25" t="s">
        <v>20</v>
      </c>
      <c r="B12" s="26"/>
      <c r="C12" s="9">
        <f>C11</f>
        <v>140887851</v>
      </c>
      <c r="D12" s="9">
        <f t="shared" ref="D12:F12" si="2">D11</f>
        <v>117891018</v>
      </c>
      <c r="E12" s="9">
        <f t="shared" si="2"/>
        <v>131184853</v>
      </c>
      <c r="F12" s="9">
        <f t="shared" si="2"/>
        <v>119858303</v>
      </c>
      <c r="G12" s="9">
        <f t="shared" ref="G12:N12" si="3">G11</f>
        <v>111770628</v>
      </c>
      <c r="H12" s="9">
        <f t="shared" si="3"/>
        <v>110154708</v>
      </c>
      <c r="I12" s="9">
        <f t="shared" si="3"/>
        <v>116519636</v>
      </c>
      <c r="J12" s="9">
        <f t="shared" si="3"/>
        <v>117322414</v>
      </c>
      <c r="K12" s="9">
        <f t="shared" si="3"/>
        <v>127984909</v>
      </c>
      <c r="L12" s="9">
        <f t="shared" si="3"/>
        <v>142624964</v>
      </c>
      <c r="M12" s="9">
        <f t="shared" si="3"/>
        <v>139740696</v>
      </c>
      <c r="N12" s="9">
        <f t="shared" si="3"/>
        <v>157539256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4"/>
  <sheetViews>
    <sheetView zoomScale="70" zoomScaleNormal="70" workbookViewId="0">
      <selection activeCell="AS1" sqref="AS1:AS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1.28515625" style="1" customWidth="1"/>
    <col min="5" max="6" width="21.28515625" style="1" hidden="1" customWidth="1"/>
    <col min="7" max="7" width="21.28515625" style="1" customWidth="1"/>
    <col min="8" max="9" width="21.28515625" style="1" hidden="1" customWidth="1"/>
    <col min="10" max="10" width="21.28515625" style="1" customWidth="1"/>
    <col min="11" max="12" width="21.28515625" style="1" hidden="1" customWidth="1"/>
    <col min="13" max="13" width="21.28515625" style="1" customWidth="1"/>
    <col min="14" max="16" width="21.28515625" style="1" hidden="1" customWidth="1"/>
    <col min="17" max="17" width="21.28515625" style="1" customWidth="1"/>
    <col min="18" max="19" width="21.28515625" style="1" hidden="1" customWidth="1"/>
    <col min="20" max="20" width="21.28515625" style="1" customWidth="1"/>
    <col min="21" max="23" width="21.28515625" style="1" hidden="1" customWidth="1"/>
    <col min="24" max="24" width="21.28515625" style="1" customWidth="1"/>
    <col min="25" max="27" width="21.28515625" style="1" hidden="1" customWidth="1"/>
    <col min="28" max="28" width="21.28515625" style="1" customWidth="1"/>
    <col min="29" max="31" width="21.28515625" style="1" hidden="1" customWidth="1"/>
    <col min="32" max="32" width="21.28515625" style="1" customWidth="1"/>
    <col min="33" max="35" width="21.28515625" style="1" hidden="1" customWidth="1"/>
    <col min="36" max="36" width="21.28515625" style="1" customWidth="1"/>
    <col min="37" max="39" width="21.28515625" style="1" hidden="1" customWidth="1"/>
    <col min="40" max="40" width="21.28515625" style="1" customWidth="1"/>
    <col min="41" max="43" width="21.28515625" style="1" hidden="1" customWidth="1"/>
    <col min="44" max="44" width="21.28515625" style="1" customWidth="1"/>
    <col min="45" max="45" width="9.140625" style="16"/>
    <col min="46" max="16384" width="9.140625" style="1"/>
  </cols>
  <sheetData>
    <row r="2" spans="1:45" ht="42.75" customHeight="1" x14ac:dyDescent="0.25">
      <c r="A2" s="27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</row>
    <row r="3" spans="1:45" s="5" customFormat="1" ht="33" customHeight="1" x14ac:dyDescent="0.25">
      <c r="A3" s="2" t="s">
        <v>0</v>
      </c>
      <c r="B3" s="3" t="s">
        <v>1</v>
      </c>
      <c r="C3" s="3"/>
      <c r="D3" s="4" t="s">
        <v>2</v>
      </c>
      <c r="E3" s="4"/>
      <c r="F3" s="4"/>
      <c r="G3" s="4" t="s">
        <v>3</v>
      </c>
      <c r="H3" s="4"/>
      <c r="I3" s="4"/>
      <c r="J3" s="4" t="s">
        <v>4</v>
      </c>
      <c r="K3" s="4"/>
      <c r="L3" s="4"/>
      <c r="M3" s="4" t="s">
        <v>5</v>
      </c>
      <c r="N3" s="4"/>
      <c r="O3" s="4"/>
      <c r="P3" s="4"/>
      <c r="Q3" s="4" t="s">
        <v>6</v>
      </c>
      <c r="R3" s="4"/>
      <c r="S3" s="4"/>
      <c r="T3" s="4" t="s">
        <v>7</v>
      </c>
      <c r="U3" s="4"/>
      <c r="V3" s="4"/>
      <c r="W3" s="4"/>
      <c r="X3" s="4" t="s">
        <v>8</v>
      </c>
      <c r="Y3" s="4"/>
      <c r="Z3" s="4"/>
      <c r="AA3" s="4"/>
      <c r="AB3" s="4" t="s">
        <v>9</v>
      </c>
      <c r="AC3" s="4"/>
      <c r="AD3" s="4"/>
      <c r="AE3" s="4"/>
      <c r="AF3" s="4" t="s">
        <v>10</v>
      </c>
      <c r="AG3" s="4"/>
      <c r="AH3" s="4"/>
      <c r="AI3" s="4"/>
      <c r="AJ3" s="4" t="s">
        <v>11</v>
      </c>
      <c r="AK3" s="4"/>
      <c r="AL3" s="4"/>
      <c r="AM3" s="4"/>
      <c r="AN3" s="4" t="s">
        <v>12</v>
      </c>
      <c r="AO3" s="4"/>
      <c r="AP3" s="4"/>
      <c r="AQ3" s="4"/>
      <c r="AR3" s="4" t="s">
        <v>13</v>
      </c>
      <c r="AS3" s="17"/>
    </row>
    <row r="4" spans="1:45" ht="22.5" customHeight="1" x14ac:dyDescent="0.25">
      <c r="A4" s="37" t="s">
        <v>35</v>
      </c>
      <c r="B4" s="40" t="s">
        <v>30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2"/>
    </row>
    <row r="5" spans="1:45" ht="22.5" customHeight="1" x14ac:dyDescent="0.25">
      <c r="A5" s="38"/>
      <c r="B5" s="19" t="s">
        <v>14</v>
      </c>
      <c r="C5" s="19">
        <v>0.90364432322034571</v>
      </c>
      <c r="D5" s="13">
        <f>118739073+209556</f>
        <v>118948629</v>
      </c>
      <c r="E5" s="13"/>
      <c r="F5" s="13">
        <v>0.92296278245286556</v>
      </c>
      <c r="G5" s="13">
        <f>98609234+163431</f>
        <v>98772665</v>
      </c>
      <c r="H5" s="13"/>
      <c r="I5" s="13">
        <v>1.1198686911786027</v>
      </c>
      <c r="J5" s="13">
        <f>116913441+248148</f>
        <v>117161589</v>
      </c>
      <c r="K5" s="13"/>
      <c r="L5" s="13">
        <v>0.94935469931578331</v>
      </c>
      <c r="M5" s="13">
        <f>106503629+89184</f>
        <v>106592813</v>
      </c>
      <c r="N5" s="13"/>
      <c r="O5" s="13"/>
      <c r="P5" s="13">
        <v>0.97745619698370745</v>
      </c>
      <c r="Q5" s="13">
        <f>98431982+81401</f>
        <v>98513383</v>
      </c>
      <c r="R5" s="13"/>
      <c r="S5" s="13"/>
      <c r="T5" s="13">
        <v>96104132</v>
      </c>
      <c r="U5" s="13"/>
      <c r="V5" s="13"/>
      <c r="W5" s="13">
        <v>1.0864304559570337</v>
      </c>
      <c r="X5" s="13">
        <v>91844916.000000015</v>
      </c>
      <c r="Y5" s="13"/>
      <c r="Z5" s="13"/>
      <c r="AA5" s="13">
        <v>0.9574371980817391</v>
      </c>
      <c r="AB5" s="13">
        <v>97304130</v>
      </c>
      <c r="AC5" s="13"/>
      <c r="AD5" s="13"/>
      <c r="AE5" s="13">
        <v>0.97685824315100056</v>
      </c>
      <c r="AF5" s="13">
        <v>95833831</v>
      </c>
      <c r="AG5" s="13"/>
      <c r="AH5" s="13"/>
      <c r="AI5" s="13">
        <v>1.0979803637480725</v>
      </c>
      <c r="AJ5" s="13">
        <v>109090374</v>
      </c>
      <c r="AK5" s="13"/>
      <c r="AL5" s="13"/>
      <c r="AM5" s="13">
        <v>1.0380749935594105</v>
      </c>
      <c r="AN5" s="13">
        <v>115331251</v>
      </c>
      <c r="AO5" s="13"/>
      <c r="AP5" s="13"/>
      <c r="AQ5" s="13">
        <v>1.0807534287291354</v>
      </c>
      <c r="AR5" s="13">
        <v>119382559.99999999</v>
      </c>
    </row>
    <row r="6" spans="1:45" ht="22.5" customHeight="1" x14ac:dyDescent="0.25">
      <c r="A6" s="38"/>
      <c r="B6" s="19" t="s">
        <v>15</v>
      </c>
      <c r="C6" s="19">
        <v>0.84346512601333079</v>
      </c>
      <c r="D6" s="13">
        <f>21782095+240948</f>
        <v>22023043</v>
      </c>
      <c r="E6" s="13"/>
      <c r="F6" s="13">
        <v>0.94692590889471817</v>
      </c>
      <c r="G6" s="13">
        <f>19706221+204657</f>
        <v>19910878</v>
      </c>
      <c r="H6" s="13"/>
      <c r="I6" s="13">
        <v>1.0658729478572544</v>
      </c>
      <c r="J6" s="13">
        <f>22861846+212655</f>
        <v>23074501</v>
      </c>
      <c r="K6" s="13"/>
      <c r="L6" s="13">
        <v>0.85440705093310865</v>
      </c>
      <c r="M6" s="13">
        <f>19568011</f>
        <v>19568011</v>
      </c>
      <c r="N6" s="13"/>
      <c r="O6" s="13"/>
      <c r="P6" s="13">
        <v>0.88187963255511581</v>
      </c>
      <c r="Q6" s="13">
        <f>18477859+569889</f>
        <v>19047748</v>
      </c>
      <c r="R6" s="13"/>
      <c r="S6" s="13"/>
      <c r="T6" s="13">
        <v>17902209.000000004</v>
      </c>
      <c r="U6" s="13"/>
      <c r="V6" s="13"/>
      <c r="W6" s="13">
        <v>1.0178925697279686</v>
      </c>
      <c r="X6" s="13">
        <v>15856844</v>
      </c>
      <c r="Y6" s="13"/>
      <c r="Z6" s="13"/>
      <c r="AA6" s="13">
        <v>0.90759992903927644</v>
      </c>
      <c r="AB6" s="13">
        <v>15194290</v>
      </c>
      <c r="AC6" s="13"/>
      <c r="AD6" s="13"/>
      <c r="AE6" s="13">
        <v>1.0792210259948687</v>
      </c>
      <c r="AF6" s="13">
        <v>15134373</v>
      </c>
      <c r="AG6" s="13"/>
      <c r="AH6" s="13"/>
      <c r="AI6" s="13">
        <v>1.194450899317923</v>
      </c>
      <c r="AJ6" s="13">
        <v>19904411</v>
      </c>
      <c r="AK6" s="13"/>
      <c r="AL6" s="13"/>
      <c r="AM6" s="13">
        <v>0.98715057529405592</v>
      </c>
      <c r="AN6" s="13">
        <v>19743860</v>
      </c>
      <c r="AO6" s="13"/>
      <c r="AP6" s="13"/>
      <c r="AQ6" s="13">
        <v>1.0989277610385297</v>
      </c>
      <c r="AR6" s="13">
        <v>19469163</v>
      </c>
    </row>
    <row r="7" spans="1:45" ht="22.5" customHeight="1" x14ac:dyDescent="0.25">
      <c r="A7" s="38"/>
      <c r="B7" s="19" t="s">
        <v>16</v>
      </c>
      <c r="C7" s="19">
        <v>1.8164028393663596</v>
      </c>
      <c r="D7" s="13">
        <f>1071538+833125</f>
        <v>1904663</v>
      </c>
      <c r="E7" s="13"/>
      <c r="F7" s="13">
        <v>0.95872779521667462</v>
      </c>
      <c r="G7" s="13">
        <f>907737+671269</f>
        <v>1579006</v>
      </c>
      <c r="H7" s="13"/>
      <c r="I7" s="13">
        <v>1.0009651382667839</v>
      </c>
      <c r="J7" s="13">
        <f>826911+797750</f>
        <v>1624661</v>
      </c>
      <c r="K7" s="13"/>
      <c r="L7" s="13">
        <v>0.85346404187220926</v>
      </c>
      <c r="M7" s="13">
        <f>720461+566699</f>
        <v>1287160</v>
      </c>
      <c r="N7" s="13"/>
      <c r="O7" s="13"/>
      <c r="P7" s="13">
        <v>0.71301949432782596</v>
      </c>
      <c r="Q7" s="13">
        <f>308451+76243</f>
        <v>384694</v>
      </c>
      <c r="R7" s="13"/>
      <c r="S7" s="13"/>
      <c r="T7" s="13">
        <v>847117</v>
      </c>
      <c r="U7" s="13"/>
      <c r="V7" s="13"/>
      <c r="W7" s="13">
        <v>1.0309938628279567</v>
      </c>
      <c r="X7" s="13">
        <v>816594</v>
      </c>
      <c r="Y7" s="13"/>
      <c r="Z7" s="13"/>
      <c r="AA7" s="13">
        <v>1.134948612477134</v>
      </c>
      <c r="AB7" s="13">
        <v>865296</v>
      </c>
      <c r="AC7" s="13"/>
      <c r="AD7" s="13"/>
      <c r="AE7" s="13">
        <v>1.0807618696451788</v>
      </c>
      <c r="AF7" s="13">
        <v>820796</v>
      </c>
      <c r="AG7" s="13"/>
      <c r="AH7" s="13"/>
      <c r="AI7" s="13">
        <v>1.0349969640469194</v>
      </c>
      <c r="AJ7" s="13">
        <v>976338</v>
      </c>
      <c r="AK7" s="13"/>
      <c r="AL7" s="13"/>
      <c r="AM7" s="13">
        <v>1.003740865624088</v>
      </c>
      <c r="AN7" s="13">
        <v>1143453</v>
      </c>
      <c r="AO7" s="13"/>
      <c r="AP7" s="13"/>
      <c r="AQ7" s="13">
        <v>1.1243097660366901</v>
      </c>
      <c r="AR7" s="13">
        <v>1354731</v>
      </c>
    </row>
    <row r="8" spans="1:45" ht="22.5" customHeight="1" x14ac:dyDescent="0.25">
      <c r="A8" s="38"/>
      <c r="B8" s="19" t="s">
        <v>17</v>
      </c>
      <c r="C8" s="19">
        <v>1.7310201040495674</v>
      </c>
      <c r="D8" s="13">
        <f>164594+82897</f>
        <v>247491</v>
      </c>
      <c r="E8" s="13"/>
      <c r="F8" s="13">
        <v>0.96243199057590434</v>
      </c>
      <c r="G8" s="13">
        <f>212433+76390</f>
        <v>288823</v>
      </c>
      <c r="H8" s="13"/>
      <c r="I8" s="13">
        <v>0.9880684024903591</v>
      </c>
      <c r="J8" s="13">
        <f>134572+66183</f>
        <v>200755</v>
      </c>
      <c r="K8" s="13"/>
      <c r="L8" s="13">
        <v>0.89913111010173841</v>
      </c>
      <c r="M8" s="13">
        <f>170039+61911</f>
        <v>231950</v>
      </c>
      <c r="N8" s="13"/>
      <c r="O8" s="13"/>
      <c r="P8" s="13">
        <v>0.87932080584094263</v>
      </c>
      <c r="Q8" s="13">
        <v>98796</v>
      </c>
      <c r="R8" s="13"/>
      <c r="S8" s="13"/>
      <c r="T8" s="13">
        <v>174756</v>
      </c>
      <c r="U8" s="13"/>
      <c r="V8" s="13"/>
      <c r="W8" s="13">
        <v>0.92284244816588434</v>
      </c>
      <c r="X8" s="13">
        <v>136206</v>
      </c>
      <c r="Y8" s="13"/>
      <c r="Z8" s="13"/>
      <c r="AA8" s="13">
        <v>0.9814642360273319</v>
      </c>
      <c r="AB8" s="13">
        <v>146352</v>
      </c>
      <c r="AC8" s="13"/>
      <c r="AD8" s="13"/>
      <c r="AE8" s="13">
        <v>1.0393795598293549</v>
      </c>
      <c r="AF8" s="13">
        <v>149909</v>
      </c>
      <c r="AG8" s="13"/>
      <c r="AH8" s="13"/>
      <c r="AI8" s="13">
        <v>1.0462797356939042</v>
      </c>
      <c r="AJ8" s="13">
        <v>178309</v>
      </c>
      <c r="AK8" s="13"/>
      <c r="AL8" s="13"/>
      <c r="AM8" s="13">
        <v>0.9991217150893773</v>
      </c>
      <c r="AN8" s="13">
        <v>213364</v>
      </c>
      <c r="AO8" s="13"/>
      <c r="AP8" s="13"/>
      <c r="AQ8" s="13">
        <v>1.0265421287813652</v>
      </c>
      <c r="AR8" s="13">
        <v>251228</v>
      </c>
    </row>
    <row r="9" spans="1:45" ht="22.5" customHeight="1" x14ac:dyDescent="0.25">
      <c r="A9" s="38"/>
      <c r="B9" s="40" t="s">
        <v>31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2"/>
    </row>
    <row r="10" spans="1:45" ht="22.5" customHeight="1" x14ac:dyDescent="0.25">
      <c r="A10" s="39"/>
      <c r="B10" s="20"/>
      <c r="C10" s="20">
        <v>1.2415274639801475</v>
      </c>
      <c r="D10" s="13">
        <f>650</f>
        <v>650</v>
      </c>
      <c r="E10" s="13"/>
      <c r="F10" s="13">
        <v>1.3290523070803499</v>
      </c>
      <c r="G10" s="13">
        <v>671</v>
      </c>
      <c r="H10" s="13"/>
      <c r="I10" s="13">
        <v>0.97248025619250356</v>
      </c>
      <c r="J10" s="13">
        <v>617</v>
      </c>
      <c r="K10" s="13"/>
      <c r="L10" s="13">
        <v>0.84689335738988936</v>
      </c>
      <c r="M10" s="13">
        <v>407</v>
      </c>
      <c r="N10" s="13"/>
      <c r="O10" s="13"/>
      <c r="P10" s="13">
        <v>2.2467248709935315</v>
      </c>
      <c r="Q10" s="13">
        <v>394</v>
      </c>
      <c r="R10" s="13"/>
      <c r="S10" s="13"/>
      <c r="T10" s="13">
        <v>386</v>
      </c>
      <c r="U10" s="13"/>
      <c r="V10" s="13"/>
      <c r="W10" s="13">
        <v>0.91946223889558532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5" s="10" customFormat="1" ht="22.5" customHeight="1" x14ac:dyDescent="0.2">
      <c r="A11" s="35" t="s">
        <v>20</v>
      </c>
      <c r="B11" s="36"/>
      <c r="C11" s="24"/>
      <c r="D11" s="21">
        <f>SUM(D5:D8,D10)</f>
        <v>143124476</v>
      </c>
      <c r="E11" s="21"/>
      <c r="F11" s="21"/>
      <c r="G11" s="21">
        <f t="shared" ref="G11:AR11" si="0">SUM(G5:G8,G10)</f>
        <v>120552043</v>
      </c>
      <c r="H11" s="21"/>
      <c r="I11" s="21"/>
      <c r="J11" s="21">
        <f t="shared" si="0"/>
        <v>142062123</v>
      </c>
      <c r="K11" s="21"/>
      <c r="L11" s="21"/>
      <c r="M11" s="21">
        <f t="shared" si="0"/>
        <v>127680341</v>
      </c>
      <c r="N11" s="21"/>
      <c r="O11" s="21"/>
      <c r="P11" s="21"/>
      <c r="Q11" s="21">
        <f t="shared" si="0"/>
        <v>118045015</v>
      </c>
      <c r="R11" s="21"/>
      <c r="S11" s="21"/>
      <c r="T11" s="21">
        <f t="shared" si="0"/>
        <v>115028600</v>
      </c>
      <c r="U11" s="21"/>
      <c r="V11" s="21"/>
      <c r="W11" s="21"/>
      <c r="X11" s="21">
        <f t="shared" si="0"/>
        <v>108654560.00000001</v>
      </c>
      <c r="Y11" s="21"/>
      <c r="Z11" s="21"/>
      <c r="AA11" s="21"/>
      <c r="AB11" s="21">
        <f t="shared" si="0"/>
        <v>113510068</v>
      </c>
      <c r="AC11" s="21"/>
      <c r="AD11" s="21"/>
      <c r="AE11" s="21"/>
      <c r="AF11" s="21">
        <f t="shared" si="0"/>
        <v>111938909</v>
      </c>
      <c r="AG11" s="21"/>
      <c r="AH11" s="21"/>
      <c r="AI11" s="21"/>
      <c r="AJ11" s="21">
        <f t="shared" si="0"/>
        <v>130149432</v>
      </c>
      <c r="AK11" s="21"/>
      <c r="AL11" s="21"/>
      <c r="AM11" s="21"/>
      <c r="AN11" s="21">
        <f t="shared" si="0"/>
        <v>136431928</v>
      </c>
      <c r="AO11" s="21"/>
      <c r="AP11" s="21"/>
      <c r="AQ11" s="21"/>
      <c r="AR11" s="21">
        <f t="shared" si="0"/>
        <v>140457682</v>
      </c>
      <c r="AS11" s="18"/>
    </row>
    <row r="12" spans="1:45" ht="22.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5" ht="22.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5" ht="22.5" customHeight="1" x14ac:dyDescent="0.25">
      <c r="AJ14" s="23"/>
    </row>
  </sheetData>
  <mergeCells count="5">
    <mergeCell ref="A2:AR2"/>
    <mergeCell ref="A4:A10"/>
    <mergeCell ref="B4:AR4"/>
    <mergeCell ref="B9:AR9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zoomScale="70" zoomScaleNormal="70" workbookViewId="0">
      <selection activeCell="C5" sqref="C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1.28515625" style="1" customWidth="1"/>
    <col min="15" max="16384" width="9.140625" style="1"/>
  </cols>
  <sheetData>
    <row r="2" spans="1:14" ht="42.75" customHeight="1" x14ac:dyDescent="0.25">
      <c r="A2" s="27" t="s">
        <v>38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37" t="s">
        <v>35</v>
      </c>
      <c r="B4" s="40" t="s">
        <v>30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22.5" customHeight="1" x14ac:dyDescent="0.25">
      <c r="A5" s="38"/>
      <c r="B5" s="19" t="s">
        <v>14</v>
      </c>
      <c r="C5" s="13">
        <v>115176884</v>
      </c>
      <c r="D5" s="13">
        <v>102724739.00000001</v>
      </c>
      <c r="E5" s="13">
        <v>115589125</v>
      </c>
      <c r="F5" s="13">
        <v>105452495</v>
      </c>
      <c r="G5" s="13">
        <v>102246086</v>
      </c>
      <c r="H5" s="13">
        <v>99199913</v>
      </c>
      <c r="I5" s="13">
        <v>101927856</v>
      </c>
      <c r="J5" s="13">
        <v>97916421.000000015</v>
      </c>
      <c r="K5" s="13">
        <v>91367468</v>
      </c>
      <c r="L5" s="13">
        <v>102148950</v>
      </c>
      <c r="M5" s="13">
        <v>102873150</v>
      </c>
      <c r="N5" s="13">
        <v>111623174</v>
      </c>
    </row>
    <row r="6" spans="1:14" ht="22.5" customHeight="1" x14ac:dyDescent="0.25">
      <c r="A6" s="38"/>
      <c r="B6" s="19" t="s">
        <v>15</v>
      </c>
      <c r="C6" s="13">
        <v>21518223</v>
      </c>
      <c r="D6" s="13">
        <v>19013219</v>
      </c>
      <c r="E6" s="13">
        <v>19414195</v>
      </c>
      <c r="F6" s="13">
        <v>17410639</v>
      </c>
      <c r="G6" s="13">
        <v>16809689</v>
      </c>
      <c r="H6" s="13">
        <v>15295067.000000002</v>
      </c>
      <c r="I6" s="13">
        <v>13573840</v>
      </c>
      <c r="J6" s="13">
        <v>15219773.000000002</v>
      </c>
      <c r="K6" s="13">
        <v>15601464</v>
      </c>
      <c r="L6" s="13">
        <v>17726930</v>
      </c>
      <c r="M6" s="13">
        <v>18215262</v>
      </c>
      <c r="N6" s="13">
        <v>19409643</v>
      </c>
    </row>
    <row r="7" spans="1:14" ht="22.5" customHeight="1" x14ac:dyDescent="0.25">
      <c r="A7" s="38"/>
      <c r="B7" s="19" t="s">
        <v>16</v>
      </c>
      <c r="C7" s="13">
        <v>1171536</v>
      </c>
      <c r="D7" s="13">
        <v>1084151</v>
      </c>
      <c r="E7" s="13">
        <v>1101026</v>
      </c>
      <c r="F7" s="13">
        <v>854621</v>
      </c>
      <c r="G7" s="13">
        <v>805514</v>
      </c>
      <c r="H7" s="13">
        <v>795712</v>
      </c>
      <c r="I7" s="13">
        <v>848931</v>
      </c>
      <c r="J7" s="13">
        <v>862460</v>
      </c>
      <c r="K7" s="13">
        <v>1150310</v>
      </c>
      <c r="L7" s="13">
        <v>1292946</v>
      </c>
      <c r="M7" s="13">
        <v>1286978</v>
      </c>
      <c r="N7" s="13">
        <v>1475284</v>
      </c>
    </row>
    <row r="8" spans="1:14" ht="22.5" customHeight="1" x14ac:dyDescent="0.25">
      <c r="A8" s="38"/>
      <c r="B8" s="19" t="s">
        <v>17</v>
      </c>
      <c r="C8" s="13">
        <v>230737</v>
      </c>
      <c r="D8" s="13">
        <v>318278</v>
      </c>
      <c r="E8" s="13">
        <v>202518</v>
      </c>
      <c r="F8" s="13">
        <v>216319</v>
      </c>
      <c r="G8" s="13">
        <v>150626</v>
      </c>
      <c r="H8" s="13">
        <v>135683</v>
      </c>
      <c r="I8" s="13">
        <v>163219</v>
      </c>
      <c r="J8" s="13">
        <v>136846</v>
      </c>
      <c r="K8" s="13">
        <v>159011</v>
      </c>
      <c r="L8" s="13">
        <v>175761</v>
      </c>
      <c r="M8" s="13">
        <v>184704</v>
      </c>
      <c r="N8" s="13">
        <v>212025</v>
      </c>
    </row>
    <row r="9" spans="1:14" ht="22.5" customHeight="1" x14ac:dyDescent="0.25">
      <c r="A9" s="38"/>
      <c r="B9" s="40" t="s">
        <v>31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14" ht="22.5" customHeight="1" x14ac:dyDescent="0.25">
      <c r="A10" s="39"/>
      <c r="B10" s="20"/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</row>
    <row r="11" spans="1:14" s="10" customFormat="1" ht="22.5" customHeight="1" x14ac:dyDescent="0.2">
      <c r="A11" s="35" t="s">
        <v>20</v>
      </c>
      <c r="B11" s="36"/>
      <c r="C11" s="21">
        <f>SUM(C5:C8,C10)</f>
        <v>138097380</v>
      </c>
      <c r="D11" s="21">
        <f t="shared" ref="D11:N11" si="0">SUM(D5:D8,D10)</f>
        <v>123140387.00000001</v>
      </c>
      <c r="E11" s="21">
        <f t="shared" si="0"/>
        <v>136306864</v>
      </c>
      <c r="F11" s="21">
        <f t="shared" si="0"/>
        <v>123934074</v>
      </c>
      <c r="G11" s="21">
        <f t="shared" si="0"/>
        <v>120011915</v>
      </c>
      <c r="H11" s="21">
        <f t="shared" si="0"/>
        <v>115426375</v>
      </c>
      <c r="I11" s="21">
        <f t="shared" si="0"/>
        <v>116513846</v>
      </c>
      <c r="J11" s="21">
        <f t="shared" si="0"/>
        <v>114135500.00000001</v>
      </c>
      <c r="K11" s="21">
        <f t="shared" si="0"/>
        <v>108278253</v>
      </c>
      <c r="L11" s="21">
        <f t="shared" si="0"/>
        <v>121344587</v>
      </c>
      <c r="M11" s="21">
        <f t="shared" si="0"/>
        <v>122560094</v>
      </c>
      <c r="N11" s="21">
        <f t="shared" si="0"/>
        <v>132720126</v>
      </c>
    </row>
    <row r="12" spans="1:14" ht="22.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2.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22.5" customHeight="1" x14ac:dyDescent="0.25">
      <c r="L14" s="23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zoomScale="70" zoomScaleNormal="70" workbookViewId="0">
      <selection activeCell="N5" sqref="N5:N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1.28515625" style="1" customWidth="1"/>
    <col min="15" max="16384" width="9.140625" style="1"/>
  </cols>
  <sheetData>
    <row r="2" spans="1:14" ht="42.75" customHeight="1" x14ac:dyDescent="0.25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37" t="s">
        <v>35</v>
      </c>
      <c r="B4" s="40" t="s">
        <v>30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22.5" customHeight="1" x14ac:dyDescent="0.25">
      <c r="A5" s="38"/>
      <c r="B5" s="19" t="s">
        <v>14</v>
      </c>
      <c r="C5" s="13">
        <v>108738940.00000001</v>
      </c>
      <c r="D5" s="13">
        <v>97378995</v>
      </c>
      <c r="E5" s="13">
        <v>108063224</v>
      </c>
      <c r="F5" s="13">
        <v>91756232.999999985</v>
      </c>
      <c r="G5" s="13">
        <v>97491969.999999985</v>
      </c>
      <c r="H5" s="13">
        <v>89647046</v>
      </c>
      <c r="I5" s="13">
        <v>91361149</v>
      </c>
      <c r="J5" s="13">
        <v>92878895.000000015</v>
      </c>
      <c r="K5" s="13">
        <v>86600739.000000015</v>
      </c>
      <c r="L5" s="13">
        <v>98129682</v>
      </c>
      <c r="M5" s="13">
        <v>100517205</v>
      </c>
      <c r="N5" s="13">
        <v>108432813</v>
      </c>
    </row>
    <row r="6" spans="1:14" ht="22.5" customHeight="1" x14ac:dyDescent="0.25">
      <c r="A6" s="38"/>
      <c r="B6" s="19" t="s">
        <v>15</v>
      </c>
      <c r="C6" s="13">
        <v>18685561</v>
      </c>
      <c r="D6" s="13">
        <v>16612672</v>
      </c>
      <c r="E6" s="13">
        <v>16787002</v>
      </c>
      <c r="F6" s="13">
        <v>13662465</v>
      </c>
      <c r="G6" s="13">
        <v>13337816</v>
      </c>
      <c r="H6" s="13">
        <v>11396514</v>
      </c>
      <c r="I6" s="13">
        <v>11120253</v>
      </c>
      <c r="J6" s="13">
        <v>12280224</v>
      </c>
      <c r="K6" s="13">
        <v>11499599</v>
      </c>
      <c r="L6" s="13">
        <v>14101351</v>
      </c>
      <c r="M6" s="13">
        <v>15323115.999999998</v>
      </c>
      <c r="N6" s="13">
        <v>18751411</v>
      </c>
    </row>
    <row r="7" spans="1:14" ht="22.5" customHeight="1" x14ac:dyDescent="0.25">
      <c r="A7" s="38"/>
      <c r="B7" s="19" t="s">
        <v>16</v>
      </c>
      <c r="C7" s="13">
        <v>1382904</v>
      </c>
      <c r="D7" s="13">
        <v>1502668</v>
      </c>
      <c r="E7" s="13">
        <v>1212001</v>
      </c>
      <c r="F7" s="13">
        <v>1032850.0000000001</v>
      </c>
      <c r="G7" s="13">
        <v>1065195</v>
      </c>
      <c r="H7" s="13">
        <v>716009</v>
      </c>
      <c r="I7" s="13">
        <v>788312</v>
      </c>
      <c r="J7" s="13">
        <v>831027</v>
      </c>
      <c r="K7" s="13">
        <v>955568</v>
      </c>
      <c r="L7" s="13">
        <v>1214452</v>
      </c>
      <c r="M7" s="13">
        <v>1266319</v>
      </c>
      <c r="N7" s="13">
        <v>1165489</v>
      </c>
    </row>
    <row r="8" spans="1:14" ht="22.5" customHeight="1" x14ac:dyDescent="0.25">
      <c r="A8" s="38"/>
      <c r="B8" s="19" t="s">
        <v>17</v>
      </c>
      <c r="C8" s="13">
        <v>235937</v>
      </c>
      <c r="D8" s="13">
        <v>225538</v>
      </c>
      <c r="E8" s="13">
        <v>253704</v>
      </c>
      <c r="F8" s="13">
        <v>192025</v>
      </c>
      <c r="G8" s="13">
        <v>168205</v>
      </c>
      <c r="H8" s="13">
        <v>135599</v>
      </c>
      <c r="I8" s="13">
        <v>145672</v>
      </c>
      <c r="J8" s="13">
        <v>151768</v>
      </c>
      <c r="K8" s="13">
        <v>151551</v>
      </c>
      <c r="L8" s="13">
        <v>159807</v>
      </c>
      <c r="M8" s="13">
        <v>230695</v>
      </c>
      <c r="N8" s="13">
        <v>213164</v>
      </c>
    </row>
    <row r="9" spans="1:14" ht="22.5" customHeight="1" x14ac:dyDescent="0.25">
      <c r="A9" s="38"/>
      <c r="B9" s="40" t="s">
        <v>31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14" ht="22.5" customHeight="1" x14ac:dyDescent="0.25">
      <c r="A10" s="39"/>
      <c r="B10" s="20"/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</row>
    <row r="11" spans="1:14" s="10" customFormat="1" ht="22.5" customHeight="1" x14ac:dyDescent="0.2">
      <c r="A11" s="35" t="s">
        <v>20</v>
      </c>
      <c r="B11" s="36"/>
      <c r="C11" s="21">
        <f>SUM(C5:C8,C10)</f>
        <v>129043342.00000001</v>
      </c>
      <c r="D11" s="21">
        <f t="shared" ref="D11:N11" si="0">SUM(D5:D8,D10)</f>
        <v>115719873</v>
      </c>
      <c r="E11" s="21">
        <f t="shared" si="0"/>
        <v>126315931</v>
      </c>
      <c r="F11" s="21">
        <f t="shared" si="0"/>
        <v>106643572.99999999</v>
      </c>
      <c r="G11" s="21">
        <f t="shared" si="0"/>
        <v>112063185.99999999</v>
      </c>
      <c r="H11" s="21">
        <f t="shared" si="0"/>
        <v>101895168</v>
      </c>
      <c r="I11" s="21">
        <f t="shared" si="0"/>
        <v>103415386</v>
      </c>
      <c r="J11" s="21">
        <f t="shared" si="0"/>
        <v>106141914.00000001</v>
      </c>
      <c r="K11" s="21">
        <f t="shared" si="0"/>
        <v>99207457.000000015</v>
      </c>
      <c r="L11" s="21">
        <f t="shared" si="0"/>
        <v>113605292</v>
      </c>
      <c r="M11" s="21">
        <f t="shared" si="0"/>
        <v>117337335</v>
      </c>
      <c r="N11" s="21">
        <f t="shared" si="0"/>
        <v>128562877</v>
      </c>
    </row>
    <row r="12" spans="1:14" ht="22.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22.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22.5" customHeight="1" x14ac:dyDescent="0.25">
      <c r="L14" s="23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B25" sqref="B2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8" t="s">
        <v>23</v>
      </c>
      <c r="B4" s="30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ht="22.5" customHeight="1" x14ac:dyDescent="0.25">
      <c r="A5" s="29"/>
      <c r="B5" s="6" t="s">
        <v>19</v>
      </c>
      <c r="C5" s="7">
        <v>5651911</v>
      </c>
      <c r="D5" s="7">
        <v>5212065</v>
      </c>
      <c r="E5" s="7">
        <v>5583442</v>
      </c>
      <c r="F5" s="7">
        <v>4371354</v>
      </c>
      <c r="G5" s="7">
        <v>3838075</v>
      </c>
      <c r="H5" s="7">
        <v>2522080</v>
      </c>
      <c r="I5" s="7">
        <v>3154160</v>
      </c>
      <c r="J5" s="7">
        <v>3915155</v>
      </c>
      <c r="K5" s="7">
        <v>3293475</v>
      </c>
      <c r="L5" s="7">
        <v>4590521</v>
      </c>
      <c r="M5" s="7">
        <v>5754056</v>
      </c>
      <c r="N5" s="7">
        <v>5399733</v>
      </c>
    </row>
    <row r="6" spans="1:14" ht="22.5" customHeight="1" x14ac:dyDescent="0.25">
      <c r="A6" s="29"/>
      <c r="B6" s="6" t="s">
        <v>14</v>
      </c>
      <c r="C6" s="7">
        <v>107259927</v>
      </c>
      <c r="D6" s="7">
        <v>96104356</v>
      </c>
      <c r="E6" s="7">
        <v>105182691</v>
      </c>
      <c r="F6" s="7">
        <v>96270260</v>
      </c>
      <c r="G6" s="7">
        <v>94421503</v>
      </c>
      <c r="H6" s="7">
        <v>91431281</v>
      </c>
      <c r="I6" s="7">
        <v>96983298</v>
      </c>
      <c r="J6" s="7">
        <v>93075157</v>
      </c>
      <c r="K6" s="7">
        <v>95162090</v>
      </c>
      <c r="L6" s="7">
        <v>103315740</v>
      </c>
      <c r="M6" s="7">
        <v>109436664</v>
      </c>
      <c r="N6" s="7">
        <v>111467397</v>
      </c>
    </row>
    <row r="7" spans="1:14" ht="22.5" customHeight="1" x14ac:dyDescent="0.25">
      <c r="A7" s="29"/>
      <c r="B7" s="6" t="s">
        <v>15</v>
      </c>
      <c r="C7" s="7">
        <v>28073356</v>
      </c>
      <c r="D7" s="7">
        <v>25643899</v>
      </c>
      <c r="E7" s="7">
        <v>25896321</v>
      </c>
      <c r="F7" s="7">
        <v>21366239</v>
      </c>
      <c r="G7" s="7">
        <v>17240723</v>
      </c>
      <c r="H7" s="7">
        <v>16621392</v>
      </c>
      <c r="I7" s="7">
        <v>18479322</v>
      </c>
      <c r="J7" s="7">
        <v>17597410</v>
      </c>
      <c r="K7" s="7">
        <v>19169209</v>
      </c>
      <c r="L7" s="7">
        <v>23361670</v>
      </c>
      <c r="M7" s="7">
        <v>24075085</v>
      </c>
      <c r="N7" s="7">
        <v>25991458</v>
      </c>
    </row>
    <row r="8" spans="1:14" ht="22.5" customHeight="1" x14ac:dyDescent="0.25">
      <c r="A8" s="29"/>
      <c r="B8" s="6" t="s">
        <v>16</v>
      </c>
      <c r="C8" s="7">
        <v>4041592</v>
      </c>
      <c r="D8" s="7">
        <v>4141779</v>
      </c>
      <c r="E8" s="7">
        <v>3800144</v>
      </c>
      <c r="F8" s="7">
        <v>3827015</v>
      </c>
      <c r="G8" s="7">
        <v>2951839</v>
      </c>
      <c r="H8" s="7">
        <v>2755531</v>
      </c>
      <c r="I8" s="7">
        <v>2762530</v>
      </c>
      <c r="J8" s="7">
        <v>3400240</v>
      </c>
      <c r="K8" s="7">
        <v>3842412</v>
      </c>
      <c r="L8" s="7">
        <v>4130782</v>
      </c>
      <c r="M8" s="7">
        <v>4038962</v>
      </c>
      <c r="N8" s="7">
        <v>5688722</v>
      </c>
    </row>
    <row r="9" spans="1:14" ht="22.5" customHeight="1" x14ac:dyDescent="0.25">
      <c r="A9" s="29"/>
      <c r="B9" s="6" t="s">
        <v>17</v>
      </c>
      <c r="C9" s="7">
        <v>1317145</v>
      </c>
      <c r="D9" s="7">
        <v>1307216</v>
      </c>
      <c r="E9" s="7">
        <v>1057713</v>
      </c>
      <c r="F9" s="7">
        <v>990140</v>
      </c>
      <c r="G9" s="7">
        <v>765607</v>
      </c>
      <c r="H9" s="7">
        <v>716999</v>
      </c>
      <c r="I9" s="7">
        <v>598284</v>
      </c>
      <c r="J9" s="7">
        <v>656802</v>
      </c>
      <c r="K9" s="7">
        <v>677402</v>
      </c>
      <c r="L9" s="7">
        <v>989346</v>
      </c>
      <c r="M9" s="7">
        <v>998499</v>
      </c>
      <c r="N9" s="7">
        <v>1326040</v>
      </c>
    </row>
    <row r="10" spans="1:14" ht="22.5" customHeight="1" x14ac:dyDescent="0.25">
      <c r="A10" s="29"/>
      <c r="B10" s="30" t="s">
        <v>22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ht="22.5" customHeight="1" x14ac:dyDescent="0.25">
      <c r="A11" s="29"/>
      <c r="B11" s="8"/>
      <c r="C11" s="7">
        <v>3261465</v>
      </c>
      <c r="D11" s="7">
        <v>3596365</v>
      </c>
      <c r="E11" s="7">
        <v>3366063</v>
      </c>
      <c r="F11" s="7">
        <v>4326317</v>
      </c>
      <c r="G11" s="7">
        <v>4137706</v>
      </c>
      <c r="H11" s="7">
        <v>3556378</v>
      </c>
      <c r="I11" s="7">
        <v>1228615</v>
      </c>
      <c r="J11" s="7">
        <v>1180145</v>
      </c>
      <c r="K11" s="7">
        <v>1139966</v>
      </c>
      <c r="L11" s="7">
        <v>767190</v>
      </c>
      <c r="M11" s="7">
        <v>519963</v>
      </c>
      <c r="N11" s="7">
        <v>631939</v>
      </c>
    </row>
    <row r="12" spans="1:14" ht="22.5" customHeight="1" x14ac:dyDescent="0.25">
      <c r="A12" s="25" t="s">
        <v>18</v>
      </c>
      <c r="B12" s="26"/>
      <c r="C12" s="9">
        <f t="shared" ref="C12:N12" si="0">SUM(C5:C9,C11)</f>
        <v>149605396</v>
      </c>
      <c r="D12" s="9">
        <f t="shared" si="0"/>
        <v>136005680</v>
      </c>
      <c r="E12" s="9">
        <f t="shared" si="0"/>
        <v>144886374</v>
      </c>
      <c r="F12" s="9">
        <f t="shared" si="0"/>
        <v>131151325</v>
      </c>
      <c r="G12" s="9">
        <f t="shared" si="0"/>
        <v>123355453</v>
      </c>
      <c r="H12" s="9">
        <f t="shared" si="0"/>
        <v>117603661</v>
      </c>
      <c r="I12" s="9">
        <f t="shared" si="0"/>
        <v>123206209</v>
      </c>
      <c r="J12" s="9">
        <f t="shared" si="0"/>
        <v>119824909</v>
      </c>
      <c r="K12" s="9">
        <f t="shared" si="0"/>
        <v>123284554</v>
      </c>
      <c r="L12" s="9">
        <f t="shared" si="0"/>
        <v>137155249</v>
      </c>
      <c r="M12" s="9">
        <f t="shared" si="0"/>
        <v>144823229</v>
      </c>
      <c r="N12" s="9">
        <f t="shared" si="0"/>
        <v>150505289</v>
      </c>
    </row>
    <row r="13" spans="1:14" s="10" customFormat="1" ht="22.5" customHeight="1" x14ac:dyDescent="0.2">
      <c r="A13" s="25" t="s">
        <v>20</v>
      </c>
      <c r="B13" s="26"/>
      <c r="C13" s="9">
        <f>C12</f>
        <v>149605396</v>
      </c>
      <c r="D13" s="9">
        <f t="shared" ref="D13:N13" si="1">D12</f>
        <v>136005680</v>
      </c>
      <c r="E13" s="9">
        <f t="shared" si="1"/>
        <v>144886374</v>
      </c>
      <c r="F13" s="9">
        <f t="shared" si="1"/>
        <v>131151325</v>
      </c>
      <c r="G13" s="9">
        <f t="shared" si="1"/>
        <v>123355453</v>
      </c>
      <c r="H13" s="9">
        <f t="shared" si="1"/>
        <v>117603661</v>
      </c>
      <c r="I13" s="9">
        <f t="shared" si="1"/>
        <v>123206209</v>
      </c>
      <c r="J13" s="9">
        <f t="shared" si="1"/>
        <v>119824909</v>
      </c>
      <c r="K13" s="9">
        <f t="shared" si="1"/>
        <v>123284554</v>
      </c>
      <c r="L13" s="9">
        <f t="shared" si="1"/>
        <v>137155249</v>
      </c>
      <c r="M13" s="9">
        <f t="shared" si="1"/>
        <v>144823229</v>
      </c>
      <c r="N13" s="9">
        <f t="shared" si="1"/>
        <v>150505289</v>
      </c>
    </row>
  </sheetData>
  <mergeCells count="6">
    <mergeCell ref="A13:B13"/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opLeftCell="F1" workbookViewId="0">
      <selection activeCell="F1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8" t="s">
        <v>23</v>
      </c>
      <c r="B4" s="30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ht="22.5" customHeight="1" x14ac:dyDescent="0.25">
      <c r="A5" s="29"/>
      <c r="B5" s="6" t="s">
        <v>19</v>
      </c>
      <c r="C5" s="7">
        <v>4682239</v>
      </c>
      <c r="D5" s="7">
        <v>4522451</v>
      </c>
      <c r="E5" s="7">
        <v>4322903</v>
      </c>
      <c r="F5" s="7">
        <v>3305221</v>
      </c>
      <c r="G5" s="7">
        <v>3030401</v>
      </c>
      <c r="H5" s="7">
        <v>2727093</v>
      </c>
      <c r="I5" s="7">
        <v>3422785</v>
      </c>
      <c r="J5" s="7">
        <v>3254778</v>
      </c>
      <c r="K5" s="7">
        <v>3438470</v>
      </c>
      <c r="L5" s="7">
        <v>3322840</v>
      </c>
      <c r="M5" s="7">
        <v>3845469</v>
      </c>
      <c r="N5" s="7">
        <v>4186252</v>
      </c>
    </row>
    <row r="6" spans="1:14" ht="22.5" customHeight="1" x14ac:dyDescent="0.25">
      <c r="A6" s="29"/>
      <c r="B6" s="6" t="s">
        <v>14</v>
      </c>
      <c r="C6" s="7">
        <v>99715734</v>
      </c>
      <c r="D6" s="7">
        <v>92270771</v>
      </c>
      <c r="E6" s="7">
        <v>103309926</v>
      </c>
      <c r="F6" s="7">
        <v>93441391</v>
      </c>
      <c r="G6" s="7">
        <v>89579223</v>
      </c>
      <c r="H6" s="7">
        <v>87703346</v>
      </c>
      <c r="I6" s="7">
        <v>92591731</v>
      </c>
      <c r="J6" s="7">
        <v>93118373</v>
      </c>
      <c r="K6" s="7">
        <v>90650267</v>
      </c>
      <c r="L6" s="7">
        <v>103547150</v>
      </c>
      <c r="M6" s="7">
        <v>108419921</v>
      </c>
      <c r="N6" s="7">
        <v>108729284</v>
      </c>
    </row>
    <row r="7" spans="1:14" ht="22.5" customHeight="1" x14ac:dyDescent="0.25">
      <c r="A7" s="29"/>
      <c r="B7" s="6" t="s">
        <v>15</v>
      </c>
      <c r="C7" s="7">
        <v>23395161</v>
      </c>
      <c r="D7" s="7">
        <v>22147315</v>
      </c>
      <c r="E7" s="7">
        <v>22260402</v>
      </c>
      <c r="F7" s="7">
        <v>18011671</v>
      </c>
      <c r="G7" s="7">
        <v>17023413</v>
      </c>
      <c r="H7" s="7">
        <v>15570639</v>
      </c>
      <c r="I7" s="7">
        <v>16662027</v>
      </c>
      <c r="J7" s="7">
        <v>17164935</v>
      </c>
      <c r="K7" s="7">
        <v>16910852</v>
      </c>
      <c r="L7" s="7">
        <v>20797174</v>
      </c>
      <c r="M7" s="7">
        <v>22126935</v>
      </c>
      <c r="N7" s="7">
        <v>23078758</v>
      </c>
    </row>
    <row r="8" spans="1:14" ht="22.5" customHeight="1" x14ac:dyDescent="0.25">
      <c r="A8" s="29"/>
      <c r="B8" s="6" t="s">
        <v>16</v>
      </c>
      <c r="C8" s="7">
        <v>6714939</v>
      </c>
      <c r="D8" s="7">
        <v>2822642</v>
      </c>
      <c r="E8" s="7">
        <v>2765298</v>
      </c>
      <c r="F8" s="7">
        <v>3816225</v>
      </c>
      <c r="G8" s="7">
        <v>3838058</v>
      </c>
      <c r="H8" s="7">
        <v>3819251</v>
      </c>
      <c r="I8" s="7">
        <v>4037565</v>
      </c>
      <c r="J8" s="7">
        <v>4317733</v>
      </c>
      <c r="K8" s="7">
        <v>3711308</v>
      </c>
      <c r="L8" s="7">
        <v>2974880</v>
      </c>
      <c r="M8" s="7">
        <v>2860093</v>
      </c>
      <c r="N8" s="7">
        <v>3389253</v>
      </c>
    </row>
    <row r="9" spans="1:14" ht="22.5" customHeight="1" x14ac:dyDescent="0.25">
      <c r="A9" s="29"/>
      <c r="B9" s="6" t="s">
        <v>17</v>
      </c>
      <c r="C9" s="7">
        <v>1341267</v>
      </c>
      <c r="D9" s="7">
        <v>1719263</v>
      </c>
      <c r="E9" s="7">
        <v>1483170</v>
      </c>
      <c r="F9" s="7">
        <v>891919</v>
      </c>
      <c r="G9" s="7">
        <v>687084</v>
      </c>
      <c r="H9" s="7">
        <v>654242</v>
      </c>
      <c r="I9" s="7">
        <v>641273</v>
      </c>
      <c r="J9" s="7">
        <v>621907</v>
      </c>
      <c r="K9" s="7">
        <v>703187</v>
      </c>
      <c r="L9" s="7">
        <v>862601</v>
      </c>
      <c r="M9" s="7">
        <v>969529</v>
      </c>
      <c r="N9" s="7">
        <v>930936</v>
      </c>
    </row>
    <row r="10" spans="1:14" ht="22.5" customHeight="1" x14ac:dyDescent="0.25">
      <c r="A10" s="29"/>
      <c r="B10" s="30" t="s">
        <v>22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ht="22.5" customHeight="1" x14ac:dyDescent="0.25">
      <c r="A11" s="29"/>
      <c r="B11" s="8"/>
      <c r="C11" s="7">
        <v>586606</v>
      </c>
      <c r="D11" s="7">
        <v>553825</v>
      </c>
      <c r="E11" s="7">
        <v>621756</v>
      </c>
      <c r="F11" s="7">
        <v>121663</v>
      </c>
      <c r="G11" s="7">
        <v>188815</v>
      </c>
      <c r="H11" s="7">
        <v>204918</v>
      </c>
      <c r="I11" s="7">
        <v>208314</v>
      </c>
      <c r="J11" s="7">
        <v>183646</v>
      </c>
      <c r="K11" s="7">
        <v>222843</v>
      </c>
      <c r="L11" s="7">
        <v>160762</v>
      </c>
      <c r="M11" s="7">
        <v>160836</v>
      </c>
      <c r="N11" s="7">
        <v>135502</v>
      </c>
    </row>
    <row r="12" spans="1:14" ht="22.5" customHeight="1" x14ac:dyDescent="0.25">
      <c r="A12" s="25" t="s">
        <v>18</v>
      </c>
      <c r="B12" s="26"/>
      <c r="C12" s="9">
        <f t="shared" ref="C12:N12" si="0">SUM(C5:C9,C11)</f>
        <v>136435946</v>
      </c>
      <c r="D12" s="9">
        <f t="shared" si="0"/>
        <v>124036267</v>
      </c>
      <c r="E12" s="9">
        <f t="shared" si="0"/>
        <v>134763455</v>
      </c>
      <c r="F12" s="9">
        <f t="shared" si="0"/>
        <v>119588090</v>
      </c>
      <c r="G12" s="9">
        <f t="shared" si="0"/>
        <v>114346994</v>
      </c>
      <c r="H12" s="9">
        <f t="shared" si="0"/>
        <v>110679489</v>
      </c>
      <c r="I12" s="9">
        <f t="shared" si="0"/>
        <v>117563695</v>
      </c>
      <c r="J12" s="9">
        <f t="shared" si="0"/>
        <v>118661372</v>
      </c>
      <c r="K12" s="9">
        <f t="shared" si="0"/>
        <v>115636927</v>
      </c>
      <c r="L12" s="9">
        <f t="shared" si="0"/>
        <v>131665407</v>
      </c>
      <c r="M12" s="9">
        <f t="shared" si="0"/>
        <v>138382783</v>
      </c>
      <c r="N12" s="9">
        <f t="shared" si="0"/>
        <v>140449985</v>
      </c>
    </row>
    <row r="13" spans="1:14" s="10" customFormat="1" ht="22.5" customHeight="1" x14ac:dyDescent="0.2">
      <c r="A13" s="25" t="s">
        <v>20</v>
      </c>
      <c r="B13" s="26"/>
      <c r="C13" s="9">
        <f>C12</f>
        <v>136435946</v>
      </c>
      <c r="D13" s="9">
        <f t="shared" ref="D13:N13" si="1">D12</f>
        <v>124036267</v>
      </c>
      <c r="E13" s="9">
        <f t="shared" si="1"/>
        <v>134763455</v>
      </c>
      <c r="F13" s="9">
        <f t="shared" si="1"/>
        <v>119588090</v>
      </c>
      <c r="G13" s="9">
        <f t="shared" si="1"/>
        <v>114346994</v>
      </c>
      <c r="H13" s="9">
        <f t="shared" si="1"/>
        <v>110679489</v>
      </c>
      <c r="I13" s="9">
        <f t="shared" si="1"/>
        <v>117563695</v>
      </c>
      <c r="J13" s="9">
        <f t="shared" si="1"/>
        <v>118661372</v>
      </c>
      <c r="K13" s="9">
        <f t="shared" si="1"/>
        <v>115636927</v>
      </c>
      <c r="L13" s="9">
        <f t="shared" si="1"/>
        <v>131665407</v>
      </c>
      <c r="M13" s="9">
        <f t="shared" si="1"/>
        <v>138382783</v>
      </c>
      <c r="N13" s="9">
        <f t="shared" si="1"/>
        <v>140449985</v>
      </c>
    </row>
  </sheetData>
  <mergeCells count="6">
    <mergeCell ref="A13:B13"/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opLeftCell="D1" workbookViewId="0">
      <selection activeCell="N13" sqref="N13:N1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8" t="s">
        <v>23</v>
      </c>
      <c r="B4" s="30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ht="22.5" customHeight="1" x14ac:dyDescent="0.25">
      <c r="A5" s="29"/>
      <c r="B5" s="6" t="s">
        <v>19</v>
      </c>
      <c r="C5" s="7">
        <v>4477949</v>
      </c>
      <c r="D5" s="7">
        <v>4655653</v>
      </c>
      <c r="E5" s="7">
        <v>2800251</v>
      </c>
      <c r="F5" s="7">
        <v>3539063</v>
      </c>
      <c r="G5" s="7">
        <v>2801101</v>
      </c>
      <c r="H5" s="7">
        <v>3697156</v>
      </c>
      <c r="I5" s="7">
        <v>2313421</v>
      </c>
      <c r="J5" s="7">
        <v>2691798</v>
      </c>
      <c r="K5" s="7">
        <v>2570355</v>
      </c>
      <c r="L5" s="7">
        <v>2846903</v>
      </c>
      <c r="M5" s="7">
        <v>4479133</v>
      </c>
      <c r="N5" s="7">
        <v>4220975</v>
      </c>
    </row>
    <row r="6" spans="1:14" ht="22.5" customHeight="1" x14ac:dyDescent="0.25">
      <c r="A6" s="29"/>
      <c r="B6" s="6" t="s">
        <v>14</v>
      </c>
      <c r="C6" s="7">
        <v>103879710</v>
      </c>
      <c r="D6" s="7">
        <v>96760865</v>
      </c>
      <c r="E6" s="7">
        <v>100607496</v>
      </c>
      <c r="F6" s="7">
        <v>89875650</v>
      </c>
      <c r="G6" s="7">
        <v>90343987</v>
      </c>
      <c r="H6" s="7">
        <v>89019124</v>
      </c>
      <c r="I6" s="7">
        <v>89877014</v>
      </c>
      <c r="J6" s="7">
        <v>85947450</v>
      </c>
      <c r="K6" s="7">
        <v>87541696</v>
      </c>
      <c r="L6" s="7">
        <v>102145351</v>
      </c>
      <c r="M6" s="7">
        <v>108292268</v>
      </c>
      <c r="N6" s="7">
        <v>116014259</v>
      </c>
    </row>
    <row r="7" spans="1:14" ht="22.5" customHeight="1" x14ac:dyDescent="0.25">
      <c r="A7" s="29"/>
      <c r="B7" s="6" t="s">
        <v>15</v>
      </c>
      <c r="C7" s="7">
        <v>23609177</v>
      </c>
      <c r="D7" s="7">
        <v>21544673</v>
      </c>
      <c r="E7" s="7">
        <v>20905907</v>
      </c>
      <c r="F7" s="7">
        <v>18581044</v>
      </c>
      <c r="G7" s="7">
        <v>16580870</v>
      </c>
      <c r="H7" s="7">
        <v>15739805</v>
      </c>
      <c r="I7" s="7">
        <v>17349056</v>
      </c>
      <c r="J7" s="7">
        <v>17513397</v>
      </c>
      <c r="K7" s="7">
        <v>17323417</v>
      </c>
      <c r="L7" s="7">
        <v>20379650</v>
      </c>
      <c r="M7" s="7">
        <v>22791568</v>
      </c>
      <c r="N7" s="7">
        <v>24917196</v>
      </c>
    </row>
    <row r="8" spans="1:14" ht="22.5" customHeight="1" x14ac:dyDescent="0.25">
      <c r="A8" s="29"/>
      <c r="B8" s="6" t="s">
        <v>16</v>
      </c>
      <c r="C8" s="7">
        <v>3200837</v>
      </c>
      <c r="D8" s="7">
        <v>3351968</v>
      </c>
      <c r="E8" s="7">
        <v>2991124</v>
      </c>
      <c r="F8" s="7">
        <v>2783396</v>
      </c>
      <c r="G8" s="7">
        <v>2486639</v>
      </c>
      <c r="H8" s="7">
        <v>2348156</v>
      </c>
      <c r="I8" s="7">
        <v>2340731</v>
      </c>
      <c r="J8" s="7">
        <v>2345189</v>
      </c>
      <c r="K8" s="7">
        <v>2236581</v>
      </c>
      <c r="L8" s="7">
        <v>2719143</v>
      </c>
      <c r="M8" s="7">
        <v>3087172</v>
      </c>
      <c r="N8" s="7">
        <v>2962636</v>
      </c>
    </row>
    <row r="9" spans="1:14" ht="22.5" customHeight="1" x14ac:dyDescent="0.25">
      <c r="A9" s="29"/>
      <c r="B9" s="6" t="s">
        <v>17</v>
      </c>
      <c r="C9" s="7">
        <v>1007229</v>
      </c>
      <c r="D9" s="7">
        <v>894494</v>
      </c>
      <c r="E9" s="7">
        <v>852395</v>
      </c>
      <c r="F9" s="7">
        <v>790871</v>
      </c>
      <c r="G9" s="7">
        <v>631200</v>
      </c>
      <c r="H9" s="7">
        <v>620314</v>
      </c>
      <c r="I9" s="7">
        <v>611204</v>
      </c>
      <c r="J9" s="7">
        <v>872206</v>
      </c>
      <c r="K9" s="7">
        <v>618893</v>
      </c>
      <c r="L9" s="7">
        <v>711870</v>
      </c>
      <c r="M9" s="7">
        <v>859449</v>
      </c>
      <c r="N9" s="7">
        <v>886400</v>
      </c>
    </row>
    <row r="10" spans="1:14" ht="22.5" customHeight="1" x14ac:dyDescent="0.25">
      <c r="A10" s="29"/>
      <c r="B10" s="30" t="s">
        <v>22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ht="22.5" customHeight="1" x14ac:dyDescent="0.25">
      <c r="A11" s="33"/>
      <c r="B11" s="8"/>
      <c r="C11" s="7">
        <v>159809</v>
      </c>
      <c r="D11" s="7">
        <v>167230</v>
      </c>
      <c r="E11" s="7">
        <v>175067</v>
      </c>
      <c r="F11" s="7">
        <v>143924</v>
      </c>
      <c r="G11" s="7">
        <v>217947</v>
      </c>
      <c r="H11" s="7">
        <v>252022</v>
      </c>
      <c r="I11" s="7">
        <v>211734</v>
      </c>
      <c r="J11" s="7">
        <v>214833</v>
      </c>
      <c r="K11" s="7">
        <v>223203</v>
      </c>
      <c r="L11" s="7">
        <v>204807</v>
      </c>
      <c r="M11" s="7">
        <v>140257</v>
      </c>
      <c r="N11" s="7">
        <v>146541</v>
      </c>
    </row>
    <row r="12" spans="1:14" ht="22.5" customHeight="1" x14ac:dyDescent="0.25">
      <c r="A12" s="34" t="s">
        <v>28</v>
      </c>
      <c r="B12" s="31" t="s">
        <v>21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22.5" customHeight="1" x14ac:dyDescent="0.25">
      <c r="A13" s="34"/>
      <c r="B13" s="6" t="s">
        <v>16</v>
      </c>
      <c r="C13" s="7">
        <v>28068</v>
      </c>
      <c r="D13" s="7">
        <v>24175</v>
      </c>
      <c r="E13" s="7">
        <v>18248</v>
      </c>
      <c r="F13" s="7">
        <v>20654</v>
      </c>
      <c r="G13" s="7">
        <v>16463</v>
      </c>
      <c r="H13" s="7">
        <v>16013</v>
      </c>
      <c r="I13" s="7">
        <v>12489</v>
      </c>
      <c r="J13" s="7">
        <v>15554</v>
      </c>
      <c r="K13" s="7">
        <v>14705</v>
      </c>
      <c r="L13" s="7">
        <v>18040</v>
      </c>
      <c r="M13" s="7">
        <v>20228</v>
      </c>
      <c r="N13" s="7">
        <v>20885</v>
      </c>
    </row>
    <row r="14" spans="1:14" ht="22.5" customHeight="1" x14ac:dyDescent="0.25">
      <c r="A14" s="34"/>
      <c r="B14" s="6" t="s">
        <v>17</v>
      </c>
      <c r="C14" s="7">
        <v>5130</v>
      </c>
      <c r="D14" s="7">
        <v>5227</v>
      </c>
      <c r="E14" s="7">
        <v>4779</v>
      </c>
      <c r="F14" s="7">
        <v>992</v>
      </c>
      <c r="G14" s="7">
        <v>5690</v>
      </c>
      <c r="H14" s="7">
        <v>3348</v>
      </c>
      <c r="I14" s="7">
        <v>6465</v>
      </c>
      <c r="J14" s="7">
        <v>10625</v>
      </c>
      <c r="K14" s="7">
        <v>7190</v>
      </c>
      <c r="L14" s="7">
        <v>5250</v>
      </c>
      <c r="M14" s="7">
        <v>9526</v>
      </c>
      <c r="N14" s="7">
        <v>6624</v>
      </c>
    </row>
    <row r="15" spans="1:14" ht="22.5" customHeight="1" x14ac:dyDescent="0.25">
      <c r="A15" s="25" t="s">
        <v>18</v>
      </c>
      <c r="B15" s="26"/>
      <c r="C15" s="9">
        <f>SUM(C5:C9,C11,C13:C14)</f>
        <v>136367909</v>
      </c>
      <c r="D15" s="9">
        <f t="shared" ref="D15:N15" si="0">SUM(D5:D9,D11,D13:D14)</f>
        <v>127404285</v>
      </c>
      <c r="E15" s="9">
        <f t="shared" si="0"/>
        <v>128355267</v>
      </c>
      <c r="F15" s="9">
        <f t="shared" si="0"/>
        <v>115735594</v>
      </c>
      <c r="G15" s="9">
        <f t="shared" si="0"/>
        <v>113083897</v>
      </c>
      <c r="H15" s="9">
        <f t="shared" si="0"/>
        <v>111695938</v>
      </c>
      <c r="I15" s="9">
        <f t="shared" si="0"/>
        <v>112722114</v>
      </c>
      <c r="J15" s="9">
        <f t="shared" si="0"/>
        <v>109611052</v>
      </c>
      <c r="K15" s="9">
        <f t="shared" si="0"/>
        <v>110536040</v>
      </c>
      <c r="L15" s="9">
        <f t="shared" si="0"/>
        <v>129031014</v>
      </c>
      <c r="M15" s="9">
        <f t="shared" si="0"/>
        <v>139679601</v>
      </c>
      <c r="N15" s="9">
        <f t="shared" si="0"/>
        <v>149175516</v>
      </c>
    </row>
    <row r="16" spans="1:14" s="10" customFormat="1" ht="22.5" customHeight="1" x14ac:dyDescent="0.2">
      <c r="A16" s="25" t="s">
        <v>20</v>
      </c>
      <c r="B16" s="26"/>
      <c r="C16" s="9">
        <f>C15</f>
        <v>136367909</v>
      </c>
      <c r="D16" s="9">
        <f t="shared" ref="D16:N16" si="1">D15</f>
        <v>127404285</v>
      </c>
      <c r="E16" s="9">
        <f t="shared" si="1"/>
        <v>128355267</v>
      </c>
      <c r="F16" s="9">
        <f t="shared" si="1"/>
        <v>115735594</v>
      </c>
      <c r="G16" s="9">
        <f t="shared" si="1"/>
        <v>113083897</v>
      </c>
      <c r="H16" s="9">
        <f t="shared" si="1"/>
        <v>111695938</v>
      </c>
      <c r="I16" s="9">
        <f t="shared" si="1"/>
        <v>112722114</v>
      </c>
      <c r="J16" s="9">
        <f t="shared" si="1"/>
        <v>109611052</v>
      </c>
      <c r="K16" s="9">
        <f t="shared" si="1"/>
        <v>110536040</v>
      </c>
      <c r="L16" s="9">
        <f t="shared" si="1"/>
        <v>129031014</v>
      </c>
      <c r="M16" s="9">
        <f t="shared" si="1"/>
        <v>139679601</v>
      </c>
      <c r="N16" s="9">
        <f t="shared" si="1"/>
        <v>149175516</v>
      </c>
    </row>
  </sheetData>
  <mergeCells count="8">
    <mergeCell ref="A16:B16"/>
    <mergeCell ref="A2:N2"/>
    <mergeCell ref="A4:A11"/>
    <mergeCell ref="B4:N4"/>
    <mergeCell ref="B10:N10"/>
    <mergeCell ref="A15:B15"/>
    <mergeCell ref="B12:N12"/>
    <mergeCell ref="A12:A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opLeftCell="D2" workbookViewId="0">
      <selection activeCell="N9" sqref="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8" t="s">
        <v>23</v>
      </c>
      <c r="B4" s="30" t="s">
        <v>30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ht="22.5" customHeight="1" x14ac:dyDescent="0.25">
      <c r="A5" s="29"/>
      <c r="B5" s="11" t="s">
        <v>19</v>
      </c>
      <c r="C5" s="7">
        <v>4605897</v>
      </c>
      <c r="D5" s="7">
        <v>4178675</v>
      </c>
      <c r="E5" s="7">
        <v>3786323</v>
      </c>
      <c r="F5" s="7">
        <v>3668809</v>
      </c>
      <c r="G5" s="7">
        <v>2116338</v>
      </c>
      <c r="H5" s="7">
        <v>3240914</v>
      </c>
      <c r="I5" s="7"/>
      <c r="J5" s="7"/>
      <c r="K5" s="7"/>
      <c r="L5" s="7"/>
      <c r="M5" s="7"/>
      <c r="N5" s="7"/>
    </row>
    <row r="6" spans="1:14" ht="22.5" customHeight="1" x14ac:dyDescent="0.25">
      <c r="A6" s="29"/>
      <c r="B6" s="11" t="s">
        <v>14</v>
      </c>
      <c r="C6" s="7">
        <f>113369309+357441+186613</f>
        <v>113913363</v>
      </c>
      <c r="D6" s="7">
        <f>105744847+2017+175663+131395</f>
        <v>106053922</v>
      </c>
      <c r="E6" s="7">
        <f>114804986+205425+146749</f>
        <v>115157160</v>
      </c>
      <c r="F6" s="7">
        <f>106852208+135572+99573</f>
        <v>107087353</v>
      </c>
      <c r="G6" s="7">
        <f>108302806+132656+51251</f>
        <v>108486713</v>
      </c>
      <c r="H6" s="7">
        <f>106132342+78205+40239</f>
        <v>106250786</v>
      </c>
      <c r="I6" s="7">
        <f>110875314+19633+65370</f>
        <v>110960317</v>
      </c>
      <c r="J6" s="7">
        <f>107380577+138075+51426</f>
        <v>107570078</v>
      </c>
      <c r="K6" s="7">
        <f>100543693+50107+130399</f>
        <v>100724199</v>
      </c>
      <c r="L6" s="7">
        <f>116076620+124949+177537</f>
        <v>116379106</v>
      </c>
      <c r="M6" s="7">
        <f>117461979+158248+147514</f>
        <v>117767741</v>
      </c>
      <c r="N6" s="7">
        <f>126523307+195578+215677</f>
        <v>126934562</v>
      </c>
    </row>
    <row r="7" spans="1:14" ht="22.5" customHeight="1" x14ac:dyDescent="0.25">
      <c r="A7" s="29"/>
      <c r="B7" s="11" t="s">
        <v>15</v>
      </c>
      <c r="C7" s="7">
        <v>22328600</v>
      </c>
      <c r="D7" s="7">
        <v>22039834</v>
      </c>
      <c r="E7" s="7">
        <v>22755340</v>
      </c>
      <c r="F7" s="7">
        <v>19213606</v>
      </c>
      <c r="G7" s="7">
        <v>16439481</v>
      </c>
      <c r="H7" s="7">
        <v>17451467</v>
      </c>
      <c r="I7" s="7">
        <v>17118235</v>
      </c>
      <c r="J7" s="7">
        <f>17267332</f>
        <v>17267332</v>
      </c>
      <c r="K7" s="7">
        <v>16693959</v>
      </c>
      <c r="L7" s="7">
        <v>21285255</v>
      </c>
      <c r="M7" s="7">
        <v>23147174</v>
      </c>
      <c r="N7" s="7">
        <v>25303511</v>
      </c>
    </row>
    <row r="8" spans="1:14" ht="22.5" customHeight="1" x14ac:dyDescent="0.25">
      <c r="A8" s="29"/>
      <c r="B8" s="11" t="s">
        <v>16</v>
      </c>
      <c r="C8" s="7">
        <f>3457351+1001666+72994</f>
        <v>4532011</v>
      </c>
      <c r="D8" s="7">
        <f>3177897+989914+80139</f>
        <v>4247950</v>
      </c>
      <c r="E8" s="7">
        <f>2786935+85991+888925+112265</f>
        <v>3874116</v>
      </c>
      <c r="F8" s="7">
        <f>2522060+738491+98220+69976</f>
        <v>3428747</v>
      </c>
      <c r="G8" s="7">
        <f>2310095+546490+83330+38441</f>
        <v>2978356</v>
      </c>
      <c r="H8" s="7">
        <f>1981943+582232+97326+51898</f>
        <v>2713399</v>
      </c>
      <c r="I8" s="7">
        <f>2279484+32813+101221+496383</f>
        <v>2909901</v>
      </c>
      <c r="J8" s="7">
        <f>2120466+492151+51918+76407</f>
        <v>2740942</v>
      </c>
      <c r="K8" s="7">
        <f>2202747+108578+22479+580037</f>
        <v>2913841</v>
      </c>
      <c r="L8" s="7">
        <f>2578995+129750+47061+778836</f>
        <v>3534642</v>
      </c>
      <c r="M8" s="7">
        <f>2796600+49865+825338</f>
        <v>3671803</v>
      </c>
      <c r="N8" s="7">
        <f>2882089+119564+55238+1029813</f>
        <v>4086704</v>
      </c>
    </row>
    <row r="9" spans="1:14" ht="22.5" customHeight="1" x14ac:dyDescent="0.25">
      <c r="A9" s="29"/>
      <c r="B9" s="11" t="s">
        <v>17</v>
      </c>
      <c r="C9" s="7">
        <f>992088+142583+1852</f>
        <v>1136523</v>
      </c>
      <c r="D9" s="7">
        <f>911036+134737+1857</f>
        <v>1047630</v>
      </c>
      <c r="E9" s="7">
        <f>763640+1916+124347+1554</f>
        <v>891457</v>
      </c>
      <c r="F9" s="7">
        <f>716505+113926+1667+1795</f>
        <v>833893</v>
      </c>
      <c r="G9" s="7">
        <f>602421+139116+1329+1667</f>
        <v>744533</v>
      </c>
      <c r="H9" s="7">
        <f>588509+114495+2127+1144</f>
        <v>706275</v>
      </c>
      <c r="I9" s="7">
        <f>546681+1174+2283+113296</f>
        <v>663434</v>
      </c>
      <c r="J9" s="7">
        <f>559621+115210+1267+2245</f>
        <v>678343</v>
      </c>
      <c r="K9" s="7">
        <f>588242+1765+2112+87003</f>
        <v>679122</v>
      </c>
      <c r="L9" s="7">
        <f>809771+1739+1783+108939</f>
        <v>922232</v>
      </c>
      <c r="M9" s="7">
        <f>874533+1987+124493</f>
        <v>1001013</v>
      </c>
      <c r="N9" s="7">
        <f>929539+2349+2296+132576</f>
        <v>1066760</v>
      </c>
    </row>
    <row r="10" spans="1:14" ht="22.5" customHeight="1" x14ac:dyDescent="0.25">
      <c r="A10" s="29"/>
      <c r="B10" s="30" t="s">
        <v>31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ht="22.5" customHeight="1" x14ac:dyDescent="0.25">
      <c r="A11" s="33"/>
      <c r="B11" s="8"/>
      <c r="C11" s="7">
        <f>190713+529195</f>
        <v>719908</v>
      </c>
      <c r="D11" s="7">
        <f>178950+477678</f>
        <v>656628</v>
      </c>
      <c r="E11" s="7">
        <f>166812+432284</f>
        <v>599096</v>
      </c>
      <c r="F11" s="7">
        <f>176007+552685</f>
        <v>728692</v>
      </c>
      <c r="G11" s="7">
        <f>287026+1147846</f>
        <v>1434872</v>
      </c>
      <c r="H11" s="7">
        <f>274428+1032637</f>
        <v>1307065</v>
      </c>
      <c r="I11" s="7">
        <f>224736+907832</f>
        <v>1132568</v>
      </c>
      <c r="J11" s="7">
        <f>239402+923355</f>
        <v>1162757</v>
      </c>
      <c r="K11" s="7">
        <f>232230+909892</f>
        <v>1142122</v>
      </c>
      <c r="L11" s="7">
        <f>200814+723456</f>
        <v>924270</v>
      </c>
      <c r="M11" s="7">
        <f>123614+514208</f>
        <v>637822</v>
      </c>
      <c r="N11" s="7">
        <f>137519+547791</f>
        <v>685310</v>
      </c>
    </row>
    <row r="12" spans="1:14" ht="22.5" customHeight="1" x14ac:dyDescent="0.25">
      <c r="A12" s="34" t="s">
        <v>28</v>
      </c>
      <c r="B12" s="31" t="s">
        <v>30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22.5" customHeight="1" x14ac:dyDescent="0.25">
      <c r="A13" s="34"/>
      <c r="B13" s="11" t="s">
        <v>16</v>
      </c>
      <c r="C13" s="7">
        <v>17541</v>
      </c>
      <c r="D13" s="7">
        <v>20421</v>
      </c>
      <c r="E13" s="7">
        <v>18334</v>
      </c>
      <c r="F13" s="7">
        <v>15818</v>
      </c>
      <c r="G13" s="7">
        <v>14111</v>
      </c>
      <c r="H13" s="7">
        <v>11346</v>
      </c>
      <c r="I13" s="7">
        <v>12362</v>
      </c>
      <c r="J13" s="7">
        <v>10433</v>
      </c>
      <c r="K13" s="7">
        <v>13185</v>
      </c>
      <c r="L13" s="7">
        <v>14461</v>
      </c>
      <c r="M13" s="7">
        <v>21263</v>
      </c>
      <c r="N13" s="7">
        <v>15971</v>
      </c>
    </row>
    <row r="14" spans="1:14" ht="22.5" customHeight="1" x14ac:dyDescent="0.25">
      <c r="A14" s="34"/>
      <c r="B14" s="11" t="s">
        <v>17</v>
      </c>
      <c r="C14" s="7">
        <v>8066</v>
      </c>
      <c r="D14" s="7">
        <v>9862</v>
      </c>
      <c r="E14" s="7">
        <v>7903</v>
      </c>
      <c r="F14" s="7">
        <v>7326</v>
      </c>
      <c r="G14" s="7">
        <v>6568</v>
      </c>
      <c r="H14" s="7">
        <v>6300</v>
      </c>
      <c r="I14" s="7">
        <v>5588</v>
      </c>
      <c r="J14" s="7">
        <v>5613</v>
      </c>
      <c r="K14" s="7">
        <v>5247</v>
      </c>
      <c r="L14" s="7">
        <v>4217</v>
      </c>
      <c r="M14" s="7">
        <v>5153</v>
      </c>
      <c r="N14" s="7">
        <v>5272</v>
      </c>
    </row>
    <row r="15" spans="1:14" ht="22.5" customHeight="1" x14ac:dyDescent="0.25">
      <c r="A15" s="25" t="s">
        <v>18</v>
      </c>
      <c r="B15" s="26"/>
      <c r="C15" s="9">
        <f>SUM(C5:C9,C11,C13:C14)</f>
        <v>147261909</v>
      </c>
      <c r="D15" s="9">
        <f t="shared" ref="D15:N15" si="0">SUM(D5:D9,D11,D13:D14)</f>
        <v>138254922</v>
      </c>
      <c r="E15" s="9">
        <f t="shared" si="0"/>
        <v>147089729</v>
      </c>
      <c r="F15" s="9">
        <f t="shared" si="0"/>
        <v>134984244</v>
      </c>
      <c r="G15" s="9">
        <f t="shared" ref="G15" si="1">SUM(G5:G9,G11,G13:G14)</f>
        <v>132220972</v>
      </c>
      <c r="H15" s="9">
        <f t="shared" si="0"/>
        <v>131687552</v>
      </c>
      <c r="I15" s="9">
        <f t="shared" ref="I15:J15" si="2">SUM(I5:I9,I11,I13:I14)</f>
        <v>132802405</v>
      </c>
      <c r="J15" s="9">
        <f t="shared" si="2"/>
        <v>129435498</v>
      </c>
      <c r="K15" s="9">
        <f t="shared" si="0"/>
        <v>122171675</v>
      </c>
      <c r="L15" s="9">
        <f t="shared" si="0"/>
        <v>143064183</v>
      </c>
      <c r="M15" s="9">
        <f t="shared" si="0"/>
        <v>146251969</v>
      </c>
      <c r="N15" s="9">
        <f t="shared" si="0"/>
        <v>158098090</v>
      </c>
    </row>
    <row r="16" spans="1:14" s="10" customFormat="1" ht="22.5" customHeight="1" x14ac:dyDescent="0.2">
      <c r="A16" s="25" t="s">
        <v>20</v>
      </c>
      <c r="B16" s="26"/>
      <c r="C16" s="9">
        <f>C15</f>
        <v>147261909</v>
      </c>
      <c r="D16" s="9">
        <f t="shared" ref="D16:N16" si="3">D15</f>
        <v>138254922</v>
      </c>
      <c r="E16" s="9">
        <f t="shared" si="3"/>
        <v>147089729</v>
      </c>
      <c r="F16" s="9">
        <f t="shared" si="3"/>
        <v>134984244</v>
      </c>
      <c r="G16" s="9">
        <f t="shared" ref="G16" si="4">G15</f>
        <v>132220972</v>
      </c>
      <c r="H16" s="9">
        <f t="shared" si="3"/>
        <v>131687552</v>
      </c>
      <c r="I16" s="9">
        <f t="shared" ref="I16:J16" si="5">I15</f>
        <v>132802405</v>
      </c>
      <c r="J16" s="9">
        <f t="shared" si="5"/>
        <v>129435498</v>
      </c>
      <c r="K16" s="9">
        <f t="shared" si="3"/>
        <v>122171675</v>
      </c>
      <c r="L16" s="9">
        <f t="shared" si="3"/>
        <v>143064183</v>
      </c>
      <c r="M16" s="9">
        <f t="shared" si="3"/>
        <v>146251969</v>
      </c>
      <c r="N16" s="9">
        <f t="shared" si="3"/>
        <v>158098090</v>
      </c>
    </row>
  </sheetData>
  <mergeCells count="8">
    <mergeCell ref="A15:B15"/>
    <mergeCell ref="A16:B16"/>
    <mergeCell ref="A2:N2"/>
    <mergeCell ref="A4:A11"/>
    <mergeCell ref="B4:N4"/>
    <mergeCell ref="B10:N10"/>
    <mergeCell ref="A12:A14"/>
    <mergeCell ref="B12:N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opLeftCell="B1" zoomScale="87" zoomScaleNormal="87"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8" t="s">
        <v>23</v>
      </c>
      <c r="B4" s="30" t="s">
        <v>30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ht="22.5" customHeight="1" x14ac:dyDescent="0.25">
      <c r="A5" s="29"/>
      <c r="B5" s="12" t="s">
        <v>14</v>
      </c>
      <c r="C5" s="7">
        <f>120428477+279261+172527</f>
        <v>120880265</v>
      </c>
      <c r="D5" s="7">
        <f>108940906+145701</f>
        <v>109086607</v>
      </c>
      <c r="E5" s="7">
        <f>116809847+170763+261664</f>
        <v>117242274</v>
      </c>
      <c r="F5" s="7">
        <f>107668372+100251+192257</f>
        <v>107960880</v>
      </c>
      <c r="G5" s="7">
        <f>103570833+32014+159700</f>
        <v>103762547</v>
      </c>
      <c r="H5" s="7">
        <f>97730657+75114+164482</f>
        <v>97970253</v>
      </c>
      <c r="I5" s="7">
        <f>106620081+93612+156943</f>
        <v>106870636</v>
      </c>
      <c r="J5" s="7">
        <f>107588382+155570+97147</f>
        <v>107841099</v>
      </c>
      <c r="K5" s="7">
        <f>104153499+110791</f>
        <v>104264290</v>
      </c>
      <c r="L5" s="7">
        <f>116682378+147733+209952</f>
        <v>117040063</v>
      </c>
      <c r="M5" s="7">
        <f>114908089+250492+161706</f>
        <v>115320287</v>
      </c>
      <c r="N5" s="7">
        <f>124226916+329114</f>
        <v>124556030</v>
      </c>
    </row>
    <row r="6" spans="1:14" ht="22.5" customHeight="1" x14ac:dyDescent="0.25">
      <c r="A6" s="29"/>
      <c r="B6" s="12" t="s">
        <v>15</v>
      </c>
      <c r="C6" s="7">
        <v>23126117</v>
      </c>
      <c r="D6" s="7">
        <v>23594024</v>
      </c>
      <c r="E6" s="7">
        <v>26401578</v>
      </c>
      <c r="F6" s="7">
        <v>19542815</v>
      </c>
      <c r="G6" s="7">
        <v>19628739</v>
      </c>
      <c r="H6" s="7">
        <v>19255607</v>
      </c>
      <c r="I6" s="7">
        <v>17957225</v>
      </c>
      <c r="J6" s="7">
        <v>18099970</v>
      </c>
      <c r="K6" s="7">
        <v>17724255</v>
      </c>
      <c r="L6" s="7">
        <v>20248195</v>
      </c>
      <c r="M6" s="7">
        <v>22310279</v>
      </c>
      <c r="N6" s="7">
        <v>26049910</v>
      </c>
    </row>
    <row r="7" spans="1:14" ht="22.5" customHeight="1" x14ac:dyDescent="0.25">
      <c r="A7" s="29"/>
      <c r="B7" s="12" t="s">
        <v>16</v>
      </c>
      <c r="C7" s="7">
        <f>3324978+100239+84958+1079233</f>
        <v>4589408</v>
      </c>
      <c r="D7" s="7">
        <f>3129897+103697+967464</f>
        <v>4201058</v>
      </c>
      <c r="E7" s="7">
        <f>2749313+79510+921509+62206</f>
        <v>3812538</v>
      </c>
      <c r="F7" s="7">
        <f>2365716+97182+719563+45313</f>
        <v>3227774</v>
      </c>
      <c r="G7" s="7">
        <f>1906564+115747+632405+34145</f>
        <v>2688861</v>
      </c>
      <c r="H7" s="7">
        <f>1894693+90189+510318+32192</f>
        <v>2527392</v>
      </c>
      <c r="I7" s="7">
        <f>1900681+108212+484275+29340</f>
        <v>2522508</v>
      </c>
      <c r="J7" s="7">
        <f>2021908+42729+538752</f>
        <v>2603389</v>
      </c>
      <c r="K7" s="7">
        <f>2091415+518072</f>
        <v>2609487</v>
      </c>
      <c r="L7" s="7">
        <f>2517840+116739+732688+50622</f>
        <v>3417889</v>
      </c>
      <c r="M7" s="7">
        <f>2905123+121943+69746+925523</f>
        <v>4022335</v>
      </c>
      <c r="N7" s="7">
        <f>3203942+11351+892789</f>
        <v>4108082</v>
      </c>
    </row>
    <row r="8" spans="1:14" ht="22.5" customHeight="1" x14ac:dyDescent="0.25">
      <c r="A8" s="29"/>
      <c r="B8" s="12" t="s">
        <v>17</v>
      </c>
      <c r="C8" s="7">
        <f>975028+1565+1668+127413</f>
        <v>1105674</v>
      </c>
      <c r="D8" s="7">
        <f>880758+1735+133756</f>
        <v>1016249</v>
      </c>
      <c r="E8" s="7">
        <f>805471+1692+122923+1750</f>
        <v>931836</v>
      </c>
      <c r="F8" s="7">
        <f>739693+1663+120847+1818</f>
        <v>864021</v>
      </c>
      <c r="G8" s="7">
        <f>533844+1660+116688+1783</f>
        <v>653975</v>
      </c>
      <c r="H8" s="7">
        <f>516300+2091+103456+1433</f>
        <v>623280</v>
      </c>
      <c r="I8" s="7">
        <f>597723+2125+97743+1087</f>
        <v>698678</v>
      </c>
      <c r="J8" s="7">
        <f>582755+1204+116192</f>
        <v>700151</v>
      </c>
      <c r="K8" s="7">
        <f>619699+105848</f>
        <v>725547</v>
      </c>
      <c r="L8" s="7">
        <f>745344+3107+106330+1909</f>
        <v>856690</v>
      </c>
      <c r="M8" s="7">
        <f>855836+3222+1884+118950</f>
        <v>979892</v>
      </c>
      <c r="N8" s="7">
        <f>876370+6420+117874</f>
        <v>1000664</v>
      </c>
    </row>
    <row r="9" spans="1:14" ht="22.5" customHeight="1" x14ac:dyDescent="0.25">
      <c r="A9" s="29"/>
      <c r="B9" s="30" t="s">
        <v>31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22.5" customHeight="1" x14ac:dyDescent="0.25">
      <c r="A10" s="33"/>
      <c r="B10" s="8"/>
      <c r="C10" s="7">
        <f>145683+568913</f>
        <v>714596</v>
      </c>
      <c r="D10" s="7">
        <f>155744+541440</f>
        <v>697184</v>
      </c>
      <c r="E10" s="7">
        <f>146777+546030</f>
        <v>692807</v>
      </c>
      <c r="F10" s="7">
        <f>131355+576042</f>
        <v>707397</v>
      </c>
      <c r="G10" s="7">
        <f>204741+984465</f>
        <v>1189206</v>
      </c>
      <c r="H10" s="7">
        <f>270903+1111371</f>
        <v>1382274</v>
      </c>
      <c r="I10" s="7">
        <f>190097+851170</f>
        <v>1041267</v>
      </c>
      <c r="J10" s="7">
        <f>213501+979002</f>
        <v>1192503</v>
      </c>
      <c r="K10" s="7">
        <f>250162+1025501</f>
        <v>1275663</v>
      </c>
      <c r="L10" s="7">
        <f>155713+660496</f>
        <v>816209</v>
      </c>
      <c r="M10" s="7">
        <f>131677+583321</f>
        <v>714998</v>
      </c>
      <c r="N10" s="7">
        <f>136667+1148507</f>
        <v>1285174</v>
      </c>
    </row>
    <row r="11" spans="1:14" ht="22.5" customHeight="1" x14ac:dyDescent="0.25">
      <c r="A11" s="34" t="s">
        <v>28</v>
      </c>
      <c r="B11" s="31" t="s">
        <v>30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</row>
    <row r="12" spans="1:14" ht="22.5" customHeight="1" x14ac:dyDescent="0.25">
      <c r="A12" s="34"/>
      <c r="B12" s="12" t="s">
        <v>16</v>
      </c>
      <c r="C12" s="7">
        <v>130131</v>
      </c>
      <c r="D12" s="7">
        <v>45842</v>
      </c>
      <c r="E12" s="7">
        <v>150298</v>
      </c>
      <c r="F12" s="13">
        <v>149692</v>
      </c>
      <c r="G12" s="7">
        <v>347067</v>
      </c>
      <c r="H12" s="7">
        <v>134020</v>
      </c>
      <c r="I12" s="7"/>
      <c r="J12" s="7"/>
      <c r="K12" s="7"/>
      <c r="L12" s="7"/>
      <c r="M12" s="7"/>
      <c r="N12" s="7"/>
    </row>
    <row r="13" spans="1:14" ht="22.5" customHeight="1" x14ac:dyDescent="0.25">
      <c r="A13" s="34"/>
      <c r="B13" s="12" t="s">
        <v>17</v>
      </c>
      <c r="C13" s="7">
        <v>82667</v>
      </c>
      <c r="D13" s="7">
        <v>79044</v>
      </c>
      <c r="E13" s="7">
        <v>125757</v>
      </c>
      <c r="F13" s="13">
        <v>80394</v>
      </c>
      <c r="G13" s="7">
        <v>110108</v>
      </c>
      <c r="H13" s="7">
        <v>77101</v>
      </c>
      <c r="I13" s="7"/>
      <c r="J13" s="7"/>
      <c r="K13" s="7"/>
      <c r="L13" s="7"/>
      <c r="M13" s="7"/>
      <c r="N13" s="7"/>
    </row>
    <row r="14" spans="1:14" ht="22.5" customHeight="1" x14ac:dyDescent="0.25">
      <c r="A14" s="25" t="s">
        <v>18</v>
      </c>
      <c r="B14" s="26"/>
      <c r="C14" s="9">
        <f t="shared" ref="C14:N14" si="0">SUM(C5:C8,C10,C12:C13)</f>
        <v>150628858</v>
      </c>
      <c r="D14" s="9">
        <f t="shared" si="0"/>
        <v>138720008</v>
      </c>
      <c r="E14" s="9">
        <f t="shared" si="0"/>
        <v>149357088</v>
      </c>
      <c r="F14" s="9">
        <f t="shared" si="0"/>
        <v>132532973</v>
      </c>
      <c r="G14" s="9">
        <f t="shared" si="0"/>
        <v>128380503</v>
      </c>
      <c r="H14" s="9">
        <f t="shared" si="0"/>
        <v>121969927</v>
      </c>
      <c r="I14" s="9">
        <f t="shared" si="0"/>
        <v>129090314</v>
      </c>
      <c r="J14" s="9">
        <f t="shared" si="0"/>
        <v>130437112</v>
      </c>
      <c r="K14" s="9">
        <f t="shared" si="0"/>
        <v>126599242</v>
      </c>
      <c r="L14" s="9">
        <f t="shared" si="0"/>
        <v>142379046</v>
      </c>
      <c r="M14" s="9">
        <f t="shared" si="0"/>
        <v>143347791</v>
      </c>
      <c r="N14" s="9">
        <f t="shared" si="0"/>
        <v>156999860</v>
      </c>
    </row>
    <row r="15" spans="1:14" s="10" customFormat="1" ht="22.5" customHeight="1" x14ac:dyDescent="0.2">
      <c r="A15" s="25" t="s">
        <v>20</v>
      </c>
      <c r="B15" s="26"/>
      <c r="C15" s="9">
        <f>C14</f>
        <v>150628858</v>
      </c>
      <c r="D15" s="9">
        <f t="shared" ref="D15:N15" si="1">D14</f>
        <v>138720008</v>
      </c>
      <c r="E15" s="9">
        <f t="shared" si="1"/>
        <v>149357088</v>
      </c>
      <c r="F15" s="9">
        <f t="shared" si="1"/>
        <v>132532973</v>
      </c>
      <c r="G15" s="9">
        <f t="shared" si="1"/>
        <v>128380503</v>
      </c>
      <c r="H15" s="9">
        <f t="shared" si="1"/>
        <v>121969927</v>
      </c>
      <c r="I15" s="9">
        <f t="shared" si="1"/>
        <v>129090314</v>
      </c>
      <c r="J15" s="9">
        <f t="shared" si="1"/>
        <v>130437112</v>
      </c>
      <c r="K15" s="9">
        <f t="shared" si="1"/>
        <v>126599242</v>
      </c>
      <c r="L15" s="9">
        <f t="shared" si="1"/>
        <v>142379046</v>
      </c>
      <c r="M15" s="9">
        <f t="shared" si="1"/>
        <v>143347791</v>
      </c>
      <c r="N15" s="9">
        <f t="shared" si="1"/>
        <v>156999860</v>
      </c>
    </row>
  </sheetData>
  <mergeCells count="8">
    <mergeCell ref="A14:B14"/>
    <mergeCell ref="A15:B15"/>
    <mergeCell ref="A2:N2"/>
    <mergeCell ref="A4:A10"/>
    <mergeCell ref="B4:N4"/>
    <mergeCell ref="B9:N9"/>
    <mergeCell ref="A11:A13"/>
    <mergeCell ref="B11:N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zoomScale="55" zoomScaleNormal="55"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1.28515625" style="1" customWidth="1"/>
    <col min="15" max="15" width="9.140625" style="16"/>
    <col min="16" max="16" width="9.140625" style="1"/>
    <col min="17" max="17" width="12.7109375" style="16" bestFit="1" customWidth="1"/>
    <col min="18" max="16384" width="9.140625" style="1"/>
  </cols>
  <sheetData>
    <row r="2" spans="1:17" ht="42.75" customHeight="1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7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17"/>
      <c r="Q3" s="17"/>
    </row>
    <row r="4" spans="1:17" ht="22.5" customHeight="1" x14ac:dyDescent="0.25">
      <c r="A4" s="28" t="s">
        <v>23</v>
      </c>
      <c r="B4" s="30" t="s">
        <v>30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7" ht="22.5" customHeight="1" x14ac:dyDescent="0.25">
      <c r="A5" s="29"/>
      <c r="B5" s="14" t="s">
        <v>14</v>
      </c>
      <c r="C5" s="7">
        <f>122107488+332310+149990</f>
        <v>122589788</v>
      </c>
      <c r="D5" s="7">
        <f>107240385+159771+229559</f>
        <v>107629715</v>
      </c>
      <c r="E5" s="7">
        <f>125635808+204870+153538</f>
        <v>125994216</v>
      </c>
      <c r="F5" s="7">
        <f>115193446+90058+128810</f>
        <v>115412314</v>
      </c>
      <c r="G5" s="7">
        <f>108128140+121031+94273</f>
        <v>108343444</v>
      </c>
      <c r="H5" s="7">
        <f>101890938+54080+114896</f>
        <v>102059914</v>
      </c>
      <c r="I5" s="7">
        <f>114194579+84960+73459</f>
        <v>114352998</v>
      </c>
      <c r="J5" s="7">
        <f>113782089+91150+83677</f>
        <v>113956916</v>
      </c>
      <c r="K5" s="7">
        <f>109998354+110077+108611</f>
        <v>110217042</v>
      </c>
      <c r="L5" s="7">
        <f>118605882+122676+168928</f>
        <v>118897486</v>
      </c>
      <c r="M5" s="7">
        <f>116592804+171833+275206</f>
        <v>117039843</v>
      </c>
      <c r="N5" s="7">
        <f>118146480+200740+314298</f>
        <v>118661518</v>
      </c>
      <c r="O5" s="16">
        <f>N5/M5</f>
        <v>1.0138557516691131</v>
      </c>
      <c r="Q5" s="15">
        <f>AVERAGE(C5:N5)</f>
        <v>114596266.16666667</v>
      </c>
    </row>
    <row r="6" spans="1:17" ht="22.5" customHeight="1" x14ac:dyDescent="0.25">
      <c r="A6" s="29"/>
      <c r="B6" s="14" t="s">
        <v>15</v>
      </c>
      <c r="C6" s="7">
        <v>23490864</v>
      </c>
      <c r="D6" s="7">
        <v>21258022</v>
      </c>
      <c r="E6" s="7">
        <v>24146428</v>
      </c>
      <c r="F6" s="7">
        <v>19101257</v>
      </c>
      <c r="G6" s="7">
        <v>17559971</v>
      </c>
      <c r="H6" s="7">
        <v>17883632</v>
      </c>
      <c r="I6" s="7">
        <v>17468643</v>
      </c>
      <c r="J6" s="7">
        <v>17056992</v>
      </c>
      <c r="K6" s="7">
        <v>17915577</v>
      </c>
      <c r="L6" s="7">
        <v>20129511</v>
      </c>
      <c r="M6" s="7">
        <v>21200300</v>
      </c>
      <c r="N6" s="7">
        <v>23181033</v>
      </c>
      <c r="O6" s="16">
        <f t="shared" ref="O6:O8" si="0">N6/M6</f>
        <v>1.0934294797715127</v>
      </c>
      <c r="Q6" s="15">
        <f t="shared" ref="Q6:Q10" si="1">AVERAGE(C6:N6)</f>
        <v>20032685.833333332</v>
      </c>
    </row>
    <row r="7" spans="1:17" ht="22.5" customHeight="1" x14ac:dyDescent="0.25">
      <c r="A7" s="29"/>
      <c r="B7" s="14" t="s">
        <v>16</v>
      </c>
      <c r="C7" s="7">
        <f>2854809+120633+92249+1188779</f>
        <v>4256470</v>
      </c>
      <c r="D7" s="7">
        <f>3039804+139918+836241+41125</f>
        <v>4057088</v>
      </c>
      <c r="E7" s="7">
        <f>2796276+135963+46726+958977</f>
        <v>3937942</v>
      </c>
      <c r="F7" s="7">
        <f>2291633+146792+798288+55346</f>
        <v>3292059</v>
      </c>
      <c r="G7" s="7">
        <f>2126090+144060+39163+617594</f>
        <v>2926907</v>
      </c>
      <c r="H7" s="7">
        <f>1721563+132109+543678+29160</f>
        <v>2426510</v>
      </c>
      <c r="I7" s="7">
        <f>1848865+151888+630259+36569</f>
        <v>2667581</v>
      </c>
      <c r="J7" s="7">
        <f>1850979+44257+149234+684213</f>
        <v>2728683</v>
      </c>
      <c r="K7" s="7">
        <f>2023484+108883+729671+34149</f>
        <v>2896187</v>
      </c>
      <c r="L7" s="7">
        <f>2293681+119800+857540+54276</f>
        <v>3325297</v>
      </c>
      <c r="M7" s="7">
        <f>2518875+109742+954978+43571</f>
        <v>3627166</v>
      </c>
      <c r="N7" s="7">
        <f>2685904+97560+993433+56405</f>
        <v>3833302</v>
      </c>
      <c r="O7" s="16">
        <f t="shared" si="0"/>
        <v>1.0568311458587778</v>
      </c>
      <c r="Q7" s="15">
        <f t="shared" si="1"/>
        <v>3331266</v>
      </c>
    </row>
    <row r="8" spans="1:17" ht="22.5" customHeight="1" x14ac:dyDescent="0.25">
      <c r="A8" s="29"/>
      <c r="B8" s="14" t="s">
        <v>17</v>
      </c>
      <c r="C8" s="7">
        <f>952039+3818+2933+125946</f>
        <v>1084736</v>
      </c>
      <c r="D8" s="7">
        <f>916092+2624+125640+872</f>
        <v>1045228</v>
      </c>
      <c r="E8" s="7">
        <f>735641+3239+1020+118041</f>
        <v>857941</v>
      </c>
      <c r="F8" s="7">
        <f>705387+2491+92222+790</f>
        <v>800890</v>
      </c>
      <c r="G8" s="7">
        <f>591038+5026+1201+74390</f>
        <v>671655</v>
      </c>
      <c r="H8" s="7">
        <f>563343+3136+73679+775</f>
        <v>640933</v>
      </c>
      <c r="I8" s="7">
        <f>562328+4024+73735+1068</f>
        <v>641155</v>
      </c>
      <c r="J8" s="7">
        <f>594177+992+5522+37312</f>
        <v>638003</v>
      </c>
      <c r="K8" s="7">
        <f>585166+4027+84066+1937</f>
        <v>675196</v>
      </c>
      <c r="L8" s="7">
        <f>708798+4559+89174+1212</f>
        <v>803743</v>
      </c>
      <c r="M8" s="7">
        <f>724502+5730+85203+1292</f>
        <v>816727</v>
      </c>
      <c r="N8" s="7">
        <f>758160+3586+94106+1938</f>
        <v>857790</v>
      </c>
      <c r="O8" s="16">
        <f t="shared" si="0"/>
        <v>1.0502775101104775</v>
      </c>
      <c r="Q8" s="15">
        <f t="shared" si="1"/>
        <v>794499.75</v>
      </c>
    </row>
    <row r="9" spans="1:17" ht="22.5" customHeight="1" x14ac:dyDescent="0.25">
      <c r="A9" s="29"/>
      <c r="B9" s="30" t="s">
        <v>31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  <c r="Q9" s="15"/>
    </row>
    <row r="10" spans="1:17" ht="22.5" customHeight="1" x14ac:dyDescent="0.25">
      <c r="A10" s="33"/>
      <c r="B10" s="8"/>
      <c r="C10" s="7">
        <f>197250+694892</f>
        <v>892142</v>
      </c>
      <c r="D10" s="7">
        <f>177153+582884</f>
        <v>760037</v>
      </c>
      <c r="E10" s="7">
        <f>144527+525329</f>
        <v>669856</v>
      </c>
      <c r="F10" s="7">
        <f>135359+547307</f>
        <v>682666</v>
      </c>
      <c r="G10" s="7">
        <f>165571+649634</f>
        <v>815205</v>
      </c>
      <c r="H10" s="7">
        <f>198938+741810</f>
        <v>940748</v>
      </c>
      <c r="I10" s="7">
        <f>176279+650180</f>
        <v>826459</v>
      </c>
      <c r="J10" s="7">
        <f>172816+708346</f>
        <v>881162</v>
      </c>
      <c r="K10" s="7">
        <f>185606+658204</f>
        <v>843810</v>
      </c>
      <c r="L10" s="7">
        <f>157336+624904</f>
        <v>782240</v>
      </c>
      <c r="M10" s="7">
        <f>138108+579823</f>
        <v>717931</v>
      </c>
      <c r="N10" s="7">
        <f>160872+638206</f>
        <v>799078</v>
      </c>
      <c r="O10" s="16">
        <f>N10/M10</f>
        <v>1.1130289679648879</v>
      </c>
      <c r="Q10" s="15">
        <f t="shared" si="1"/>
        <v>800944.5</v>
      </c>
    </row>
    <row r="11" spans="1:17" ht="22.5" customHeight="1" x14ac:dyDescent="0.25">
      <c r="A11" s="34" t="s">
        <v>28</v>
      </c>
      <c r="B11" s="31" t="s">
        <v>30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</row>
    <row r="12" spans="1:17" ht="22.5" customHeight="1" x14ac:dyDescent="0.25">
      <c r="A12" s="34"/>
      <c r="B12" s="14" t="s">
        <v>16</v>
      </c>
      <c r="C12" s="7"/>
      <c r="D12" s="7"/>
      <c r="E12" s="7"/>
      <c r="F12" s="13"/>
      <c r="G12" s="7"/>
      <c r="H12" s="7"/>
      <c r="I12" s="7"/>
      <c r="J12" s="7"/>
      <c r="K12" s="7"/>
      <c r="L12" s="7"/>
      <c r="M12" s="7"/>
      <c r="N12" s="7"/>
    </row>
    <row r="13" spans="1:17" ht="22.5" customHeight="1" x14ac:dyDescent="0.25">
      <c r="A13" s="34"/>
      <c r="B13" s="14" t="s">
        <v>17</v>
      </c>
      <c r="C13" s="7"/>
      <c r="D13" s="7"/>
      <c r="E13" s="7"/>
      <c r="F13" s="13"/>
      <c r="G13" s="7"/>
      <c r="H13" s="7"/>
      <c r="I13" s="7"/>
      <c r="J13" s="7"/>
      <c r="K13" s="7"/>
      <c r="L13" s="7"/>
      <c r="M13" s="7"/>
      <c r="N13" s="7"/>
    </row>
    <row r="14" spans="1:17" ht="22.5" customHeight="1" x14ac:dyDescent="0.25">
      <c r="A14" s="25" t="s">
        <v>18</v>
      </c>
      <c r="B14" s="26"/>
      <c r="C14" s="9">
        <f t="shared" ref="C14:N14" si="2">SUM(C5:C8,C10,C12:C13)</f>
        <v>152314000</v>
      </c>
      <c r="D14" s="9">
        <f t="shared" si="2"/>
        <v>134750090</v>
      </c>
      <c r="E14" s="9">
        <f t="shared" si="2"/>
        <v>155606383</v>
      </c>
      <c r="F14" s="9">
        <f t="shared" si="2"/>
        <v>139289186</v>
      </c>
      <c r="G14" s="9">
        <f t="shared" si="2"/>
        <v>130317182</v>
      </c>
      <c r="H14" s="9">
        <f t="shared" si="2"/>
        <v>123951737</v>
      </c>
      <c r="I14" s="9">
        <f t="shared" si="2"/>
        <v>135956836</v>
      </c>
      <c r="J14" s="9">
        <f t="shared" si="2"/>
        <v>135261756</v>
      </c>
      <c r="K14" s="9">
        <f t="shared" si="2"/>
        <v>132547812</v>
      </c>
      <c r="L14" s="9">
        <f t="shared" si="2"/>
        <v>143938277</v>
      </c>
      <c r="M14" s="9">
        <f t="shared" si="2"/>
        <v>143401967</v>
      </c>
      <c r="N14" s="9">
        <f t="shared" si="2"/>
        <v>147332721</v>
      </c>
    </row>
    <row r="15" spans="1:17" s="10" customFormat="1" ht="22.5" customHeight="1" x14ac:dyDescent="0.25">
      <c r="A15" s="25" t="s">
        <v>20</v>
      </c>
      <c r="B15" s="26"/>
      <c r="C15" s="9">
        <f>C14</f>
        <v>152314000</v>
      </c>
      <c r="D15" s="9">
        <f t="shared" ref="D15:N15" si="3">D14</f>
        <v>134750090</v>
      </c>
      <c r="E15" s="9">
        <f t="shared" si="3"/>
        <v>155606383</v>
      </c>
      <c r="F15" s="9">
        <f t="shared" si="3"/>
        <v>139289186</v>
      </c>
      <c r="G15" s="9">
        <f t="shared" si="3"/>
        <v>130317182</v>
      </c>
      <c r="H15" s="9">
        <f t="shared" si="3"/>
        <v>123951737</v>
      </c>
      <c r="I15" s="9">
        <f t="shared" si="3"/>
        <v>135956836</v>
      </c>
      <c r="J15" s="9">
        <f t="shared" si="3"/>
        <v>135261756</v>
      </c>
      <c r="K15" s="9">
        <f t="shared" si="3"/>
        <v>132547812</v>
      </c>
      <c r="L15" s="9">
        <f t="shared" si="3"/>
        <v>143938277</v>
      </c>
      <c r="M15" s="9">
        <f t="shared" si="3"/>
        <v>143401967</v>
      </c>
      <c r="N15" s="9">
        <f t="shared" si="3"/>
        <v>147332721</v>
      </c>
      <c r="O15" s="16"/>
      <c r="Q15" s="18"/>
    </row>
  </sheetData>
  <mergeCells count="8">
    <mergeCell ref="A14:B14"/>
    <mergeCell ref="A15:B15"/>
    <mergeCell ref="A2:N2"/>
    <mergeCell ref="A4:A10"/>
    <mergeCell ref="B4:N4"/>
    <mergeCell ref="B9:N9"/>
    <mergeCell ref="A11:A13"/>
    <mergeCell ref="B11:N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"/>
  <sheetViews>
    <sheetView topLeftCell="B1" zoomScale="75" zoomScaleNormal="75" workbookViewId="0">
      <selection activeCell="W10" sqref="W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1.28515625" style="1" customWidth="1"/>
    <col min="7" max="7" width="21.28515625" style="1" hidden="1" customWidth="1"/>
    <col min="8" max="8" width="21.28515625" style="1" customWidth="1"/>
    <col min="9" max="9" width="21.28515625" style="1" hidden="1" customWidth="1"/>
    <col min="10" max="10" width="21.28515625" style="1" customWidth="1"/>
    <col min="11" max="11" width="21.28515625" style="1" hidden="1" customWidth="1"/>
    <col min="12" max="12" width="21.28515625" style="1" customWidth="1"/>
    <col min="13" max="13" width="21.28515625" style="1" hidden="1" customWidth="1"/>
    <col min="14" max="14" width="21.28515625" style="1" customWidth="1"/>
    <col min="15" max="15" width="21.28515625" style="1" hidden="1" customWidth="1"/>
    <col min="16" max="16" width="21.28515625" style="1" customWidth="1"/>
    <col min="17" max="17" width="21.28515625" style="1" hidden="1" customWidth="1"/>
    <col min="18" max="18" width="21.28515625" style="1" customWidth="1"/>
    <col min="19" max="19" width="21.28515625" style="1" hidden="1" customWidth="1"/>
    <col min="20" max="20" width="21.28515625" style="1" customWidth="1"/>
    <col min="21" max="21" width="21.28515625" style="1" hidden="1" customWidth="1"/>
    <col min="22" max="22" width="21.28515625" style="1" customWidth="1"/>
    <col min="23" max="23" width="11.5703125" style="16" bestFit="1" customWidth="1"/>
    <col min="24" max="16384" width="9.140625" style="1"/>
  </cols>
  <sheetData>
    <row r="2" spans="1:23" ht="42.75" customHeight="1" x14ac:dyDescent="0.25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3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 t="s">
        <v>9</v>
      </c>
      <c r="O3" s="4"/>
      <c r="P3" s="4" t="s">
        <v>10</v>
      </c>
      <c r="Q3" s="4"/>
      <c r="R3" s="4" t="s">
        <v>11</v>
      </c>
      <c r="S3" s="4"/>
      <c r="T3" s="4" t="s">
        <v>12</v>
      </c>
      <c r="U3" s="4"/>
      <c r="V3" s="4" t="s">
        <v>13</v>
      </c>
      <c r="W3" s="17"/>
    </row>
    <row r="4" spans="1:23" ht="22.5" customHeight="1" x14ac:dyDescent="0.25">
      <c r="A4" s="37" t="s">
        <v>35</v>
      </c>
      <c r="B4" s="40" t="s">
        <v>30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</row>
    <row r="5" spans="1:23" ht="22.5" customHeight="1" x14ac:dyDescent="0.25">
      <c r="A5" s="38"/>
      <c r="B5" s="19" t="s">
        <v>14</v>
      </c>
      <c r="C5" s="13">
        <f>106269178+132118+282668</f>
        <v>106683964</v>
      </c>
      <c r="D5" s="13">
        <f>98819454+139870+288832</f>
        <v>99248156</v>
      </c>
      <c r="E5" s="13">
        <f>106976948+129946+185841</f>
        <v>107292735</v>
      </c>
      <c r="F5" s="13">
        <f>95631300+95060+138625</f>
        <v>95864985</v>
      </c>
      <c r="G5" s="13">
        <v>0.9387511630691332</v>
      </c>
      <c r="H5" s="13">
        <f>87111670+53859+48406</f>
        <v>87213935</v>
      </c>
      <c r="I5" s="13">
        <v>0.94200359737502903</v>
      </c>
      <c r="J5" s="13">
        <f>90479714+76814+52881</f>
        <v>90609409</v>
      </c>
      <c r="K5" s="13">
        <v>1.1204496801751176</v>
      </c>
      <c r="L5" s="13">
        <f>93566757+62383+283529</f>
        <v>93912669</v>
      </c>
      <c r="M5" s="13">
        <v>0.99653632167999651</v>
      </c>
      <c r="N5" s="13">
        <f>97869346+72094</f>
        <v>97941440</v>
      </c>
      <c r="O5" s="13">
        <v>0.96718168469915422</v>
      </c>
      <c r="P5" s="13">
        <f>95650645+611350</f>
        <v>96261995</v>
      </c>
      <c r="Q5" s="13">
        <v>1.0787577296803157</v>
      </c>
      <c r="R5" s="13">
        <f>106939419+385513+11083</f>
        <v>107336015</v>
      </c>
      <c r="S5" s="13">
        <v>0.98437609521869962</v>
      </c>
      <c r="T5" s="13">
        <v>110607518</v>
      </c>
      <c r="U5" s="13">
        <v>1.0138557516691131</v>
      </c>
      <c r="V5" s="13">
        <f>122092653+473369</f>
        <v>122566022</v>
      </c>
      <c r="W5" s="16">
        <f>'2021'!C5/'2020'!V5</f>
        <v>0.90364432322034571</v>
      </c>
    </row>
    <row r="6" spans="1:23" ht="22.5" customHeight="1" x14ac:dyDescent="0.25">
      <c r="A6" s="38"/>
      <c r="B6" s="19" t="s">
        <v>15</v>
      </c>
      <c r="C6" s="13">
        <v>20440944</v>
      </c>
      <c r="D6" s="13">
        <v>19104476</v>
      </c>
      <c r="E6" s="13">
        <v>19868791</v>
      </c>
      <c r="F6" s="13">
        <v>17257704</v>
      </c>
      <c r="G6" s="13">
        <v>0.91930970825637282</v>
      </c>
      <c r="H6" s="13">
        <v>14465233</v>
      </c>
      <c r="I6" s="13">
        <v>1.0184317502574463</v>
      </c>
      <c r="J6" s="13">
        <v>14532913</v>
      </c>
      <c r="K6" s="13">
        <v>0.97679503805490964</v>
      </c>
      <c r="L6" s="13">
        <v>16397370</v>
      </c>
      <c r="M6" s="13">
        <v>0.97643486102498056</v>
      </c>
      <c r="N6" s="13">
        <v>16003857</v>
      </c>
      <c r="O6" s="13">
        <v>1.0503362492050181</v>
      </c>
      <c r="P6" s="13">
        <v>16961569</v>
      </c>
      <c r="Q6" s="13">
        <v>1.1235759250176536</v>
      </c>
      <c r="R6" s="13">
        <v>21802769</v>
      </c>
      <c r="S6" s="13">
        <v>1.0531949832263685</v>
      </c>
      <c r="T6" s="13">
        <v>22242253</v>
      </c>
      <c r="U6" s="13">
        <v>1.0934294797715127</v>
      </c>
      <c r="V6" s="13">
        <f>25625146</f>
        <v>25625146</v>
      </c>
      <c r="W6" s="16">
        <f>'2021'!C6/'2020'!V6</f>
        <v>0.84346512601333079</v>
      </c>
    </row>
    <row r="7" spans="1:23" ht="22.5" customHeight="1" x14ac:dyDescent="0.25">
      <c r="A7" s="38"/>
      <c r="B7" s="19" t="s">
        <v>16</v>
      </c>
      <c r="C7" s="13">
        <f>2639668+83635+1035911+67796</f>
        <v>3827010</v>
      </c>
      <c r="D7" s="13">
        <f>2616811+84882+860091+48414</f>
        <v>3610198</v>
      </c>
      <c r="E7" s="13">
        <f>2382224+88908+841887+61994</f>
        <v>3375013</v>
      </c>
      <c r="F7" s="13">
        <f>2073364+90586+807464+51304</f>
        <v>3022718</v>
      </c>
      <c r="G7" s="13">
        <v>0.88908096726091479</v>
      </c>
      <c r="H7" s="13">
        <f>1729075+101989+632392+33324</f>
        <v>2496780</v>
      </c>
      <c r="I7" s="13">
        <v>0.82903556553043878</v>
      </c>
      <c r="J7" s="13">
        <f>1683426+101484+563959+27807</f>
        <v>2376676</v>
      </c>
      <c r="K7" s="13">
        <v>1.0993488590609559</v>
      </c>
      <c r="L7" s="13">
        <f>1770508+42142+674197</f>
        <v>2486847</v>
      </c>
      <c r="M7" s="13">
        <v>1.0229053963122394</v>
      </c>
      <c r="N7" s="13">
        <f>1790226+614050</f>
        <v>2404276</v>
      </c>
      <c r="O7" s="13">
        <v>1.0613863904308416</v>
      </c>
      <c r="P7" s="13">
        <f>1838841+130276</f>
        <v>1969117</v>
      </c>
      <c r="Q7" s="13">
        <v>1.1481637753363301</v>
      </c>
      <c r="R7" s="13">
        <f>2147199+294855+115001+47222</f>
        <v>2604277</v>
      </c>
      <c r="S7" s="13">
        <v>1.0907795604422703</v>
      </c>
      <c r="T7" s="13">
        <v>3519991</v>
      </c>
      <c r="U7" s="13">
        <v>1.0568311458587778</v>
      </c>
      <c r="V7" s="13">
        <f>2662976+1030665</f>
        <v>3693641</v>
      </c>
      <c r="W7" s="16">
        <f>'2021'!C7/'2020'!V7</f>
        <v>1.8164028393663596</v>
      </c>
    </row>
    <row r="8" spans="1:23" ht="22.5" customHeight="1" x14ac:dyDescent="0.25">
      <c r="A8" s="38"/>
      <c r="B8" s="19" t="s">
        <v>17</v>
      </c>
      <c r="C8" s="13">
        <f>728974+3969+93537+775</f>
        <v>827255</v>
      </c>
      <c r="D8" s="13">
        <f>673842+4365+92562+1405+1014</f>
        <v>773188</v>
      </c>
      <c r="E8" s="13">
        <f>595939+2425+83775+992</f>
        <v>683131</v>
      </c>
      <c r="F8" s="13">
        <f>530261+2400+70970+751</f>
        <v>604382</v>
      </c>
      <c r="G8" s="13">
        <v>0.83863576770842441</v>
      </c>
      <c r="H8" s="13">
        <f>446034+3705+70255+987</f>
        <v>520981</v>
      </c>
      <c r="I8" s="13">
        <v>0.95425925512353815</v>
      </c>
      <c r="J8" s="13">
        <f>490737+5861+66319+901</f>
        <v>563818</v>
      </c>
      <c r="K8" s="13">
        <v>1.0003463700574007</v>
      </c>
      <c r="L8" s="13">
        <f>515317+1005+106183</f>
        <v>622505</v>
      </c>
      <c r="M8" s="13">
        <v>0.99508387207461535</v>
      </c>
      <c r="N8" s="13">
        <f>498827+88604</f>
        <v>587431</v>
      </c>
      <c r="O8" s="13">
        <v>1.0582959641255605</v>
      </c>
      <c r="P8" s="13">
        <f>479928+78568</f>
        <v>558496</v>
      </c>
      <c r="Q8" s="13">
        <v>1.1903847179189451</v>
      </c>
      <c r="R8" s="13">
        <f>559144+92419+4930+863</f>
        <v>657356</v>
      </c>
      <c r="S8" s="13">
        <v>1.0161544175190329</v>
      </c>
      <c r="T8" s="13">
        <v>36197</v>
      </c>
      <c r="U8" s="13">
        <v>1.0502775101104775</v>
      </c>
      <c r="V8" s="13">
        <f>669550+95470</f>
        <v>765020</v>
      </c>
      <c r="W8" s="16">
        <f>'2021'!C8/'2020'!V8</f>
        <v>1.7310201040495674</v>
      </c>
    </row>
    <row r="9" spans="1:23" ht="22.5" customHeight="1" x14ac:dyDescent="0.25">
      <c r="A9" s="38"/>
      <c r="B9" s="40" t="s">
        <v>31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</row>
    <row r="10" spans="1:23" ht="22.5" customHeight="1" x14ac:dyDescent="0.25">
      <c r="A10" s="39"/>
      <c r="B10" s="20"/>
      <c r="C10" s="13">
        <f>140070+248514</f>
        <v>388584</v>
      </c>
      <c r="D10" s="13">
        <f>173940+218702</f>
        <v>392642</v>
      </c>
      <c r="E10" s="13">
        <f>128860+228102</f>
        <v>356962</v>
      </c>
      <c r="F10" s="13">
        <f>144718+279070</f>
        <v>423788</v>
      </c>
      <c r="G10" s="13">
        <v>1.1941491153799955</v>
      </c>
      <c r="H10" s="13">
        <f>188050+370387</f>
        <v>558437</v>
      </c>
      <c r="I10" s="13">
        <v>1.1540017541599965</v>
      </c>
      <c r="J10" s="13">
        <f>175298+338089</f>
        <v>513387</v>
      </c>
      <c r="K10" s="13">
        <v>0.87851263037497818</v>
      </c>
      <c r="L10" s="13">
        <v>195449</v>
      </c>
      <c r="M10" s="13">
        <v>1.0661896113418814</v>
      </c>
      <c r="N10" s="13">
        <f>165888+323196</f>
        <v>489084</v>
      </c>
      <c r="O10" s="13">
        <v>0.95761051883762582</v>
      </c>
      <c r="P10" s="13">
        <f>180260+321492</f>
        <v>501752</v>
      </c>
      <c r="Q10" s="13">
        <v>0.92703333688863609</v>
      </c>
      <c r="R10" s="13">
        <v>164846</v>
      </c>
      <c r="S10" s="13">
        <v>0.91778865821231337</v>
      </c>
      <c r="T10" s="13">
        <v>142997</v>
      </c>
      <c r="U10" s="13">
        <v>1.1130289679648879</v>
      </c>
      <c r="V10" s="13">
        <v>161994</v>
      </c>
      <c r="W10" s="16">
        <f>'2021'!C10/'2020'!V10</f>
        <v>1.2415274639801475</v>
      </c>
    </row>
    <row r="11" spans="1:23" s="10" customFormat="1" ht="22.5" customHeight="1" x14ac:dyDescent="0.2">
      <c r="A11" s="35" t="s">
        <v>20</v>
      </c>
      <c r="B11" s="36"/>
      <c r="C11" s="21">
        <f>SUM(C5:C8,C10)</f>
        <v>132167757</v>
      </c>
      <c r="D11" s="21">
        <f t="shared" ref="D11:V11" si="0">SUM(D5:D8,D10)</f>
        <v>123128660</v>
      </c>
      <c r="E11" s="21">
        <f t="shared" si="0"/>
        <v>131576632</v>
      </c>
      <c r="F11" s="21">
        <f t="shared" si="0"/>
        <v>117173577</v>
      </c>
      <c r="G11" s="21"/>
      <c r="H11" s="21">
        <f t="shared" si="0"/>
        <v>105255366</v>
      </c>
      <c r="I11" s="21"/>
      <c r="J11" s="21">
        <f t="shared" si="0"/>
        <v>108596203</v>
      </c>
      <c r="K11" s="21"/>
      <c r="L11" s="21">
        <f t="shared" si="0"/>
        <v>113614840</v>
      </c>
      <c r="M11" s="21"/>
      <c r="N11" s="21">
        <f t="shared" si="0"/>
        <v>117426088</v>
      </c>
      <c r="O11" s="21"/>
      <c r="P11" s="21">
        <f t="shared" si="0"/>
        <v>116252929</v>
      </c>
      <c r="Q11" s="21"/>
      <c r="R11" s="21">
        <f t="shared" si="0"/>
        <v>132565263</v>
      </c>
      <c r="S11" s="21"/>
      <c r="T11" s="21">
        <f t="shared" si="0"/>
        <v>136548956</v>
      </c>
      <c r="U11" s="21"/>
      <c r="V11" s="21">
        <f t="shared" si="0"/>
        <v>152811823</v>
      </c>
      <c r="W11" s="18"/>
    </row>
    <row r="12" spans="1:23" ht="22.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3" ht="22.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</sheetData>
  <mergeCells count="5">
    <mergeCell ref="A11:B11"/>
    <mergeCell ref="A2:V2"/>
    <mergeCell ref="A4:A10"/>
    <mergeCell ref="B4:V4"/>
    <mergeCell ref="B9:V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4"/>
  <sheetViews>
    <sheetView zoomScale="70" zoomScaleNormal="70" workbookViewId="0">
      <selection activeCell="AH10" sqref="AH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21.28515625" style="1" customWidth="1"/>
    <col min="4" max="4" width="21.28515625" style="1" hidden="1" customWidth="1"/>
    <col min="5" max="5" width="21.28515625" style="1" customWidth="1"/>
    <col min="6" max="6" width="21.28515625" style="1" hidden="1" customWidth="1"/>
    <col min="7" max="7" width="21.28515625" style="1" customWidth="1"/>
    <col min="8" max="8" width="21.28515625" style="1" hidden="1" customWidth="1"/>
    <col min="9" max="9" width="21.28515625" style="1" customWidth="1"/>
    <col min="10" max="11" width="21.28515625" style="1" hidden="1" customWidth="1"/>
    <col min="12" max="12" width="21.28515625" style="1" customWidth="1"/>
    <col min="13" max="14" width="21.28515625" style="1" hidden="1" customWidth="1"/>
    <col min="15" max="15" width="21.28515625" style="1" customWidth="1"/>
    <col min="16" max="17" width="21.28515625" style="1" hidden="1" customWidth="1"/>
    <col min="18" max="18" width="21.28515625" style="1" customWidth="1"/>
    <col min="19" max="20" width="21.28515625" style="1" hidden="1" customWidth="1"/>
    <col min="21" max="21" width="21.28515625" style="1" customWidth="1"/>
    <col min="22" max="23" width="21.28515625" style="1" hidden="1" customWidth="1"/>
    <col min="24" max="24" width="21.28515625" style="1" customWidth="1"/>
    <col min="25" max="26" width="21.28515625" style="1" hidden="1" customWidth="1"/>
    <col min="27" max="27" width="21.28515625" style="1" customWidth="1"/>
    <col min="28" max="29" width="21.28515625" style="1" hidden="1" customWidth="1"/>
    <col min="30" max="30" width="21.28515625" style="1" customWidth="1"/>
    <col min="31" max="32" width="21.28515625" style="1" hidden="1" customWidth="1"/>
    <col min="33" max="33" width="21.28515625" style="1" customWidth="1"/>
    <col min="34" max="34" width="9.140625" style="16"/>
    <col min="35" max="16384" width="9.140625" style="1"/>
  </cols>
  <sheetData>
    <row r="2" spans="1:34" ht="42.75" customHeight="1" x14ac:dyDescent="0.25">
      <c r="A2" s="27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34" s="5" customFormat="1" ht="33" customHeight="1" x14ac:dyDescent="0.25">
      <c r="A3" s="2" t="s">
        <v>0</v>
      </c>
      <c r="B3" s="3" t="s">
        <v>1</v>
      </c>
      <c r="C3" s="4" t="s">
        <v>2</v>
      </c>
      <c r="D3" s="4"/>
      <c r="E3" s="4" t="s">
        <v>3</v>
      </c>
      <c r="F3" s="4"/>
      <c r="G3" s="4" t="s">
        <v>4</v>
      </c>
      <c r="H3" s="4"/>
      <c r="I3" s="4" t="s">
        <v>5</v>
      </c>
      <c r="J3" s="4"/>
      <c r="K3" s="4"/>
      <c r="L3" s="4" t="s">
        <v>6</v>
      </c>
      <c r="M3" s="4"/>
      <c r="N3" s="4"/>
      <c r="O3" s="4" t="s">
        <v>7</v>
      </c>
      <c r="P3" s="4"/>
      <c r="Q3" s="4"/>
      <c r="R3" s="4" t="s">
        <v>8</v>
      </c>
      <c r="S3" s="4"/>
      <c r="T3" s="4"/>
      <c r="U3" s="4" t="s">
        <v>9</v>
      </c>
      <c r="V3" s="4"/>
      <c r="W3" s="4"/>
      <c r="X3" s="4" t="s">
        <v>10</v>
      </c>
      <c r="Y3" s="4"/>
      <c r="Z3" s="4"/>
      <c r="AA3" s="4" t="s">
        <v>11</v>
      </c>
      <c r="AB3" s="4"/>
      <c r="AC3" s="4"/>
      <c r="AD3" s="4" t="s">
        <v>12</v>
      </c>
      <c r="AE3" s="4"/>
      <c r="AF3" s="4"/>
      <c r="AG3" s="4" t="s">
        <v>13</v>
      </c>
      <c r="AH3" s="17"/>
    </row>
    <row r="4" spans="1:34" ht="22.5" customHeight="1" x14ac:dyDescent="0.25">
      <c r="A4" s="37" t="s">
        <v>35</v>
      </c>
      <c r="B4" s="40" t="s">
        <v>30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/>
    </row>
    <row r="5" spans="1:34" ht="22.5" customHeight="1" x14ac:dyDescent="0.25">
      <c r="A5" s="38"/>
      <c r="B5" s="19" t="s">
        <v>14</v>
      </c>
      <c r="C5" s="13">
        <f>110236642+519448</f>
        <v>110756090</v>
      </c>
      <c r="D5" s="13">
        <v>0.93030060262852621</v>
      </c>
      <c r="E5" s="13">
        <f>101781575+442174</f>
        <v>102223749</v>
      </c>
      <c r="F5" s="13">
        <v>1.081055198647721</v>
      </c>
      <c r="G5" s="13">
        <f>113956726+520450</f>
        <v>114477176</v>
      </c>
      <c r="H5" s="13">
        <v>0.893489992588967</v>
      </c>
      <c r="I5" s="13">
        <v>108679445</v>
      </c>
      <c r="J5" s="13"/>
      <c r="K5" s="13">
        <v>0.90975797889083276</v>
      </c>
      <c r="L5" s="13">
        <v>106229397</v>
      </c>
      <c r="M5" s="13"/>
      <c r="N5" s="13">
        <v>1.0389327003763791</v>
      </c>
      <c r="O5" s="13">
        <v>102604295</v>
      </c>
      <c r="P5" s="13"/>
      <c r="Q5" s="13">
        <v>1.0364560373636251</v>
      </c>
      <c r="R5" s="13">
        <v>111472431</v>
      </c>
      <c r="S5" s="13"/>
      <c r="T5" s="13">
        <v>1.04289912152321</v>
      </c>
      <c r="U5" s="13">
        <f>106630428+97424</f>
        <v>106727852</v>
      </c>
      <c r="V5" s="13"/>
      <c r="W5" s="13">
        <v>0.9828525596519716</v>
      </c>
      <c r="X5" s="13">
        <f>104105158+152824</f>
        <v>104257982</v>
      </c>
      <c r="Y5" s="13"/>
      <c r="Z5" s="13">
        <v>1.1150404165215981</v>
      </c>
      <c r="AA5" s="13">
        <f>114107838+365379</f>
        <v>114473217</v>
      </c>
      <c r="AB5" s="13"/>
      <c r="AC5" s="13">
        <v>1.0304790801111816</v>
      </c>
      <c r="AD5" s="13">
        <f>118600531+231253</f>
        <v>118831784</v>
      </c>
      <c r="AE5" s="13"/>
      <c r="AF5" s="13">
        <v>1.1081165567787172</v>
      </c>
      <c r="AG5" s="13">
        <f>127915125+512733</f>
        <v>128427858</v>
      </c>
      <c r="AH5" s="16">
        <f>'2022'!D5/'2021'!AG5</f>
        <v>0.92619024293000352</v>
      </c>
    </row>
    <row r="6" spans="1:34" ht="22.5" customHeight="1" x14ac:dyDescent="0.25">
      <c r="A6" s="38"/>
      <c r="B6" s="19" t="s">
        <v>15</v>
      </c>
      <c r="C6" s="13">
        <v>21613917</v>
      </c>
      <c r="D6" s="13">
        <v>0.9346180880882996</v>
      </c>
      <c r="E6" s="13">
        <v>20466778</v>
      </c>
      <c r="F6" s="13">
        <v>1.0400071166568505</v>
      </c>
      <c r="G6" s="13">
        <v>21814985</v>
      </c>
      <c r="H6" s="13">
        <v>0.86858349861347883</v>
      </c>
      <c r="I6" s="13">
        <v>18638877</v>
      </c>
      <c r="J6" s="13"/>
      <c r="K6" s="13">
        <v>0.83818988899102687</v>
      </c>
      <c r="L6" s="13">
        <v>16437246</v>
      </c>
      <c r="M6" s="13"/>
      <c r="N6" s="13">
        <v>1.0046788046898381</v>
      </c>
      <c r="O6" s="13">
        <v>17687845</v>
      </c>
      <c r="P6" s="13"/>
      <c r="Q6" s="13">
        <v>1.1282920361526969</v>
      </c>
      <c r="R6" s="13">
        <v>18004326</v>
      </c>
      <c r="S6" s="13"/>
      <c r="T6" s="13">
        <v>0.9760014563311068</v>
      </c>
      <c r="U6" s="13">
        <f>16289748+50977</f>
        <v>16340725</v>
      </c>
      <c r="V6" s="13"/>
      <c r="W6" s="13">
        <v>1.059842574199457</v>
      </c>
      <c r="X6" s="13">
        <f>17557970+77284</f>
        <v>17635254</v>
      </c>
      <c r="Y6" s="13"/>
      <c r="Z6" s="13">
        <v>1.2854217083337043</v>
      </c>
      <c r="AA6" s="13">
        <f>20922870+141575</f>
        <v>21064445</v>
      </c>
      <c r="AB6" s="13"/>
      <c r="AC6" s="13">
        <v>1.0201572561723697</v>
      </c>
      <c r="AD6" s="13">
        <f>20608867+184912</f>
        <v>20793779</v>
      </c>
      <c r="AE6" s="13"/>
      <c r="AF6" s="13">
        <v>1.152093090569557</v>
      </c>
      <c r="AG6" s="13">
        <f>22621645+229216</f>
        <v>22850861</v>
      </c>
      <c r="AH6" s="16">
        <f>'2022'!D6/'2021'!AG6</f>
        <v>0.9637730061900075</v>
      </c>
    </row>
    <row r="7" spans="1:34" ht="22.5" customHeight="1" x14ac:dyDescent="0.25">
      <c r="A7" s="38"/>
      <c r="B7" s="19" t="s">
        <v>16</v>
      </c>
      <c r="C7" s="13">
        <f>5502422+1061592+93790+51336</f>
        <v>6709140</v>
      </c>
      <c r="D7" s="13">
        <v>0.94334689483434853</v>
      </c>
      <c r="E7" s="13">
        <f>5066631+939479+104021+322108</f>
        <v>6432239</v>
      </c>
      <c r="F7" s="13">
        <v>0.93485537358338799</v>
      </c>
      <c r="G7" s="13">
        <f>5029184+989845+103752+315666</f>
        <v>6438447</v>
      </c>
      <c r="H7" s="13">
        <v>0.89561669836530999</v>
      </c>
      <c r="I7" s="13">
        <v>5494983</v>
      </c>
      <c r="J7" s="13"/>
      <c r="K7" s="13">
        <v>0.82600493992492852</v>
      </c>
      <c r="L7" s="13">
        <v>3918030</v>
      </c>
      <c r="M7" s="13"/>
      <c r="N7" s="13">
        <v>0.95189644261809214</v>
      </c>
      <c r="O7" s="13">
        <f>3631072+107161+239006</f>
        <v>3977239</v>
      </c>
      <c r="P7" s="13"/>
      <c r="Q7" s="13">
        <v>1.0463550774274659</v>
      </c>
      <c r="R7" s="13">
        <f>3781249+114375+204885</f>
        <v>4100509</v>
      </c>
      <c r="S7" s="13"/>
      <c r="T7" s="13">
        <v>0.96679691191295647</v>
      </c>
      <c r="U7" s="13">
        <f>3729167+620906+103323+200471</f>
        <v>4653867</v>
      </c>
      <c r="V7" s="13"/>
      <c r="W7" s="13">
        <v>0.81900622058366013</v>
      </c>
      <c r="X7" s="13">
        <f>3897197+760142+233261+139122</f>
        <v>5029722</v>
      </c>
      <c r="Y7" s="13"/>
      <c r="Z7" s="13">
        <v>1.3225608229475445</v>
      </c>
      <c r="AA7" s="13">
        <f>4121990+737378+91768+254611</f>
        <v>5205747</v>
      </c>
      <c r="AB7" s="13"/>
      <c r="AC7" s="13">
        <v>1.3516192785944046</v>
      </c>
      <c r="AD7" s="13">
        <f>4483292+741929</f>
        <v>5225221</v>
      </c>
      <c r="AE7" s="13"/>
      <c r="AF7" s="13">
        <v>1.0493325124979014</v>
      </c>
      <c r="AG7" s="13">
        <f>4740969+47410+267774+818614</f>
        <v>5874767</v>
      </c>
      <c r="AH7" s="16">
        <f>'2022'!D7/'2021'!AG7</f>
        <v>0.32421081550978958</v>
      </c>
    </row>
    <row r="8" spans="1:34" ht="22.5" customHeight="1" x14ac:dyDescent="0.25">
      <c r="A8" s="38"/>
      <c r="B8" s="19" t="s">
        <v>17</v>
      </c>
      <c r="C8" s="13">
        <f>1234456+85559+3473+777</f>
        <v>1324265</v>
      </c>
      <c r="D8" s="13">
        <v>0.93464288520468297</v>
      </c>
      <c r="E8" s="13">
        <f>1165234+101967+5964+1350</f>
        <v>1274515</v>
      </c>
      <c r="F8" s="13">
        <v>0.88352509350895259</v>
      </c>
      <c r="G8" s="13">
        <f>1158370+94477+5810+651</f>
        <v>1259308</v>
      </c>
      <c r="H8" s="13">
        <v>0.88472342786376257</v>
      </c>
      <c r="I8" s="13">
        <v>1132283</v>
      </c>
      <c r="J8" s="13"/>
      <c r="K8" s="13">
        <v>0.86200614842930467</v>
      </c>
      <c r="L8" s="13">
        <v>995640</v>
      </c>
      <c r="M8" s="13"/>
      <c r="N8" s="13">
        <v>1.0822237279286577</v>
      </c>
      <c r="O8" s="13">
        <f>1046197+8235+954</f>
        <v>1055386</v>
      </c>
      <c r="P8" s="13"/>
      <c r="Q8" s="13">
        <v>1.104088553398437</v>
      </c>
      <c r="R8" s="13">
        <f>967550+5675+730</f>
        <v>973955</v>
      </c>
      <c r="S8" s="13"/>
      <c r="T8" s="13">
        <v>0.94365667745640602</v>
      </c>
      <c r="U8" s="13">
        <f>857142+88550+9780+430</f>
        <v>955902</v>
      </c>
      <c r="V8" s="13"/>
      <c r="W8" s="13">
        <v>0.95074315111051344</v>
      </c>
      <c r="X8" s="13">
        <f>902083+87772+1928+1762</f>
        <v>993545</v>
      </c>
      <c r="Y8" s="13"/>
      <c r="Z8" s="13">
        <v>1.1770111155675242</v>
      </c>
      <c r="AA8" s="13">
        <f>941179+91748+5461+1138</f>
        <v>1039526</v>
      </c>
      <c r="AB8" s="13"/>
      <c r="AC8" s="13">
        <v>5.5064531243344553E-2</v>
      </c>
      <c r="AD8" s="13">
        <f>948268+90345</f>
        <v>1038613</v>
      </c>
      <c r="AE8" s="13"/>
      <c r="AF8" s="13">
        <f>AD8/AA8</f>
        <v>0.9991217150893773</v>
      </c>
      <c r="AG8" s="13">
        <f>971155+6154+1503+87368</f>
        <v>1066180</v>
      </c>
      <c r="AH8" s="16">
        <f>'2022'!D8/'2021'!AG8</f>
        <v>0.23212872122906075</v>
      </c>
    </row>
    <row r="9" spans="1:34" ht="22.5" customHeight="1" x14ac:dyDescent="0.25">
      <c r="A9" s="38"/>
      <c r="B9" s="40" t="s">
        <v>31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2"/>
      <c r="AH9" s="16" t="e">
        <f t="shared" ref="AH9" si="0">O9/L9</f>
        <v>#DIV/0!</v>
      </c>
    </row>
    <row r="10" spans="1:34" ht="22.5" customHeight="1" x14ac:dyDescent="0.25">
      <c r="A10" s="39"/>
      <c r="B10" s="20"/>
      <c r="C10" s="13">
        <v>201120</v>
      </c>
      <c r="D10" s="13">
        <v>1.0104430444897372</v>
      </c>
      <c r="E10" s="13">
        <v>267299</v>
      </c>
      <c r="F10" s="13">
        <v>0.90912841723503857</v>
      </c>
      <c r="G10" s="13">
        <v>259943</v>
      </c>
      <c r="H10" s="13">
        <v>1.1872076019296172</v>
      </c>
      <c r="I10" s="13">
        <v>220144</v>
      </c>
      <c r="J10" s="13"/>
      <c r="K10" s="13">
        <v>1.3177272598563432</v>
      </c>
      <c r="L10" s="13">
        <v>494603</v>
      </c>
      <c r="M10" s="13"/>
      <c r="N10" s="13">
        <v>0.9193284112621477</v>
      </c>
      <c r="O10" s="13">
        <v>221511</v>
      </c>
      <c r="P10" s="13"/>
      <c r="Q10" s="13">
        <v>0.38070500421709158</v>
      </c>
      <c r="R10" s="13">
        <v>203671</v>
      </c>
      <c r="S10" s="13"/>
      <c r="T10" s="13">
        <v>2.5023612297837285</v>
      </c>
      <c r="U10" s="13">
        <f>186329+298443</f>
        <v>484772</v>
      </c>
      <c r="V10" s="13"/>
      <c r="W10" s="13">
        <v>1.0259014811361646</v>
      </c>
      <c r="X10" s="13">
        <f>202842+319712</f>
        <v>522554</v>
      </c>
      <c r="Y10" s="13"/>
      <c r="Z10" s="13">
        <v>0.32854079306111383</v>
      </c>
      <c r="AA10" s="13">
        <v>226864</v>
      </c>
      <c r="AB10" s="13"/>
      <c r="AC10" s="13">
        <v>0.86745811242007687</v>
      </c>
      <c r="AD10" s="13">
        <f>258990+257793</f>
        <v>516783</v>
      </c>
      <c r="AE10" s="13"/>
      <c r="AF10" s="13">
        <v>1.1328489408868718</v>
      </c>
      <c r="AG10" s="13">
        <v>288246</v>
      </c>
      <c r="AH10" s="16">
        <f>'2022'!D10/'2021'!AG10</f>
        <v>2.2550182829943867E-3</v>
      </c>
    </row>
    <row r="11" spans="1:34" s="10" customFormat="1" ht="22.5" customHeight="1" x14ac:dyDescent="0.2">
      <c r="A11" s="35" t="s">
        <v>20</v>
      </c>
      <c r="B11" s="36"/>
      <c r="C11" s="21">
        <f>SUM(C5:C8,C10)</f>
        <v>140604532</v>
      </c>
      <c r="D11" s="21"/>
      <c r="E11" s="21">
        <f t="shared" ref="E11:AG11" si="1">SUM(E5:E8,E10)</f>
        <v>130664580</v>
      </c>
      <c r="F11" s="21"/>
      <c r="G11" s="21">
        <f t="shared" si="1"/>
        <v>144249859</v>
      </c>
      <c r="H11" s="21"/>
      <c r="I11" s="21">
        <f t="shared" si="1"/>
        <v>134165732</v>
      </c>
      <c r="J11" s="21"/>
      <c r="K11" s="21"/>
      <c r="L11" s="21">
        <f t="shared" si="1"/>
        <v>128074916</v>
      </c>
      <c r="M11" s="21"/>
      <c r="N11" s="21"/>
      <c r="O11" s="21">
        <f t="shared" si="1"/>
        <v>125546276</v>
      </c>
      <c r="P11" s="21"/>
      <c r="Q11" s="21"/>
      <c r="R11" s="21">
        <f t="shared" si="1"/>
        <v>134754892</v>
      </c>
      <c r="S11" s="21"/>
      <c r="T11" s="21"/>
      <c r="U11" s="21">
        <f t="shared" si="1"/>
        <v>129163118</v>
      </c>
      <c r="V11" s="21"/>
      <c r="W11" s="21"/>
      <c r="X11" s="21">
        <f t="shared" si="1"/>
        <v>128439057</v>
      </c>
      <c r="Y11" s="21"/>
      <c r="Z11" s="21"/>
      <c r="AA11" s="21">
        <f t="shared" si="1"/>
        <v>142009799</v>
      </c>
      <c r="AB11" s="21"/>
      <c r="AC11" s="21"/>
      <c r="AD11" s="21">
        <f t="shared" si="1"/>
        <v>146406180</v>
      </c>
      <c r="AE11" s="21"/>
      <c r="AF11" s="21"/>
      <c r="AG11" s="21">
        <f t="shared" si="1"/>
        <v>158507912</v>
      </c>
      <c r="AH11" s="18"/>
    </row>
    <row r="12" spans="1:34" ht="22.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4" ht="22.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4" ht="22.5" customHeight="1" x14ac:dyDescent="0.25">
      <c r="AA14" s="23"/>
    </row>
  </sheetData>
  <mergeCells count="5">
    <mergeCell ref="A2:AG2"/>
    <mergeCell ref="A4:A10"/>
    <mergeCell ref="B4:AG4"/>
    <mergeCell ref="B9:AG9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Теменко Евгений Николаевич</cp:lastModifiedBy>
  <dcterms:created xsi:type="dcterms:W3CDTF">2013-11-13T16:10:49Z</dcterms:created>
  <dcterms:modified xsi:type="dcterms:W3CDTF">2025-01-16T07:28:21Z</dcterms:modified>
</cp:coreProperties>
</file>