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1235" yWindow="0" windowWidth="13830" windowHeight="12375" firstSheet="11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</externalReferences>
  <calcPr calcId="162913"/>
</workbook>
</file>

<file path=xl/calcChain.xml><?xml version="1.0" encoding="utf-8"?>
<calcChain xmlns="http://schemas.openxmlformats.org/spreadsheetml/2006/main">
  <c r="C8" i="16" l="1"/>
  <c r="C5" i="16"/>
  <c r="C53" i="16" l="1"/>
  <c r="C52" i="16"/>
  <c r="C76" i="16"/>
  <c r="N88" i="16"/>
  <c r="M88" i="16"/>
  <c r="L88" i="16"/>
  <c r="K88" i="16"/>
  <c r="J88" i="16"/>
  <c r="I88" i="16"/>
  <c r="H88" i="16"/>
  <c r="G88" i="16"/>
  <c r="F88" i="16"/>
  <c r="E88" i="16"/>
  <c r="D88" i="16"/>
  <c r="C88" i="16"/>
  <c r="N80" i="16"/>
  <c r="M80" i="16"/>
  <c r="L80" i="16"/>
  <c r="K80" i="16"/>
  <c r="J80" i="16"/>
  <c r="I80" i="16"/>
  <c r="H80" i="16"/>
  <c r="G80" i="16"/>
  <c r="F80" i="16"/>
  <c r="C80" i="16"/>
  <c r="E80" i="16"/>
  <c r="D80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N64" i="16"/>
  <c r="M64" i="16"/>
  <c r="L64" i="16"/>
  <c r="K64" i="16"/>
  <c r="J64" i="16"/>
  <c r="I64" i="16"/>
  <c r="H64" i="16"/>
  <c r="G64" i="16"/>
  <c r="F64" i="16"/>
  <c r="E64" i="16"/>
  <c r="D64" i="16"/>
  <c r="C64" i="16"/>
  <c r="N56" i="16"/>
  <c r="M56" i="16"/>
  <c r="L56" i="16"/>
  <c r="K56" i="16"/>
  <c r="J56" i="16"/>
  <c r="I56" i="16"/>
  <c r="H56" i="16"/>
  <c r="G56" i="16"/>
  <c r="F56" i="16"/>
  <c r="D56" i="16"/>
  <c r="C56" i="16"/>
  <c r="E56" i="16"/>
  <c r="N48" i="16"/>
  <c r="M48" i="16"/>
  <c r="L48" i="16"/>
  <c r="K48" i="16"/>
  <c r="J48" i="16"/>
  <c r="I48" i="16"/>
  <c r="H48" i="16"/>
  <c r="G48" i="16"/>
  <c r="F48" i="16"/>
  <c r="E48" i="16"/>
  <c r="D48" i="16"/>
  <c r="C47" i="16"/>
  <c r="C48" i="16" s="1"/>
  <c r="N40" i="16"/>
  <c r="M40" i="16"/>
  <c r="L40" i="16"/>
  <c r="K40" i="16"/>
  <c r="J40" i="16"/>
  <c r="I40" i="16"/>
  <c r="H40" i="16"/>
  <c r="G40" i="16"/>
  <c r="F40" i="16"/>
  <c r="C40" i="16"/>
  <c r="E40" i="16"/>
  <c r="D40" i="16"/>
  <c r="N32" i="16"/>
  <c r="M32" i="16"/>
  <c r="L32" i="16"/>
  <c r="K32" i="16"/>
  <c r="J32" i="16"/>
  <c r="I32" i="16"/>
  <c r="H32" i="16"/>
  <c r="G32" i="16"/>
  <c r="F32" i="16"/>
  <c r="E32" i="16"/>
  <c r="D32" i="16"/>
  <c r="C31" i="16"/>
  <c r="C30" i="16"/>
  <c r="C28" i="16"/>
  <c r="C27" i="16"/>
  <c r="C26" i="16"/>
  <c r="C32" i="16" s="1"/>
  <c r="N23" i="16"/>
  <c r="M23" i="16"/>
  <c r="L23" i="16"/>
  <c r="K23" i="16"/>
  <c r="J23" i="16"/>
  <c r="I23" i="16"/>
  <c r="H23" i="16"/>
  <c r="G23" i="16"/>
  <c r="F23" i="16"/>
  <c r="E23" i="16"/>
  <c r="D23" i="16"/>
  <c r="C23" i="16"/>
  <c r="N14" i="16"/>
  <c r="M14" i="16"/>
  <c r="L14" i="16"/>
  <c r="K14" i="16"/>
  <c r="J14" i="16"/>
  <c r="I14" i="16"/>
  <c r="H14" i="16"/>
  <c r="G14" i="16"/>
  <c r="F14" i="16"/>
  <c r="C14" i="16"/>
  <c r="E14" i="16"/>
  <c r="D14" i="16"/>
  <c r="G76" i="15" l="1"/>
  <c r="I40" i="15" l="1"/>
  <c r="E8" i="15" l="1"/>
  <c r="E5" i="15"/>
  <c r="E37" i="15"/>
  <c r="E36" i="15"/>
  <c r="E53" i="15"/>
  <c r="E52" i="15"/>
  <c r="E76" i="15"/>
  <c r="D76" i="15"/>
  <c r="D37" i="15" l="1"/>
  <c r="D36" i="15"/>
  <c r="D5" i="15" l="1"/>
  <c r="D8" i="15"/>
  <c r="D53" i="15"/>
  <c r="D52" i="15"/>
  <c r="C53" i="15" l="1"/>
  <c r="C52" i="15"/>
  <c r="C76" i="15" l="1"/>
  <c r="C88" i="15" l="1"/>
  <c r="C56" i="15"/>
  <c r="C47" i="15"/>
  <c r="C48" i="15" s="1"/>
  <c r="C40" i="15"/>
  <c r="C31" i="15"/>
  <c r="C30" i="15"/>
  <c r="C28" i="15"/>
  <c r="C27" i="15"/>
  <c r="C26" i="15"/>
  <c r="AH53" i="13"/>
  <c r="AH52" i="13"/>
  <c r="AH47" i="13"/>
  <c r="AH45" i="13"/>
  <c r="AH39" i="13"/>
  <c r="AH37" i="13"/>
  <c r="AH36" i="13"/>
  <c r="AH31" i="13"/>
  <c r="AH30" i="13"/>
  <c r="AH28" i="13"/>
  <c r="AH27" i="13"/>
  <c r="AH26" i="13"/>
  <c r="AH22" i="13"/>
  <c r="AH21" i="13"/>
  <c r="AH19" i="13"/>
  <c r="AH18" i="13"/>
  <c r="AH17" i="13"/>
  <c r="AH16" i="13"/>
  <c r="AH11" i="13"/>
  <c r="AH10" i="13"/>
  <c r="AH8" i="13"/>
  <c r="AH7" i="13"/>
  <c r="AH6" i="13"/>
  <c r="AH5" i="13"/>
  <c r="N88" i="15"/>
  <c r="M88" i="15"/>
  <c r="L88" i="15"/>
  <c r="K88" i="15"/>
  <c r="J88" i="15"/>
  <c r="I88" i="15"/>
  <c r="H88" i="15"/>
  <c r="G88" i="15"/>
  <c r="F88" i="15"/>
  <c r="E88" i="15"/>
  <c r="D88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N72" i="15"/>
  <c r="M72" i="15"/>
  <c r="L72" i="15"/>
  <c r="K72" i="15"/>
  <c r="J72" i="15"/>
  <c r="I72" i="15"/>
  <c r="H72" i="15"/>
  <c r="G72" i="15"/>
  <c r="F72" i="15"/>
  <c r="E72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M56" i="15"/>
  <c r="L56" i="15"/>
  <c r="K56" i="15"/>
  <c r="I56" i="15"/>
  <c r="N56" i="15"/>
  <c r="J56" i="15"/>
  <c r="N48" i="15"/>
  <c r="M48" i="15"/>
  <c r="L48" i="15"/>
  <c r="K48" i="15"/>
  <c r="J48" i="15"/>
  <c r="I48" i="15"/>
  <c r="H48" i="15"/>
  <c r="G48" i="15"/>
  <c r="F48" i="15"/>
  <c r="E48" i="15"/>
  <c r="D48" i="15"/>
  <c r="N40" i="15"/>
  <c r="M40" i="15"/>
  <c r="L40" i="15"/>
  <c r="K40" i="15"/>
  <c r="J40" i="15"/>
  <c r="H40" i="15"/>
  <c r="G40" i="15"/>
  <c r="F40" i="15"/>
  <c r="E40" i="15"/>
  <c r="D40" i="15"/>
  <c r="N32" i="15"/>
  <c r="M32" i="15"/>
  <c r="L32" i="15"/>
  <c r="K32" i="15"/>
  <c r="J32" i="15"/>
  <c r="I32" i="15"/>
  <c r="H32" i="15"/>
  <c r="G32" i="15"/>
  <c r="F32" i="15"/>
  <c r="E32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N14" i="15"/>
  <c r="M14" i="15"/>
  <c r="L14" i="15"/>
  <c r="K14" i="15"/>
  <c r="J14" i="15"/>
  <c r="I14" i="15"/>
  <c r="H14" i="15"/>
  <c r="G14" i="15"/>
  <c r="F14" i="15"/>
  <c r="E14" i="15"/>
  <c r="D14" i="15"/>
  <c r="D32" i="15" l="1"/>
  <c r="C32" i="15"/>
  <c r="E56" i="15"/>
  <c r="D72" i="15"/>
  <c r="C14" i="15"/>
  <c r="D56" i="15"/>
  <c r="C72" i="15"/>
  <c r="AR84" i="14"/>
  <c r="AR76" i="14"/>
  <c r="AR45" i="14"/>
  <c r="AH61" i="13"/>
  <c r="F56" i="15" l="1"/>
  <c r="AN84" i="14"/>
  <c r="AN76" i="14"/>
  <c r="AN45" i="14"/>
  <c r="H56" i="15" l="1"/>
  <c r="G56" i="15"/>
  <c r="AJ84" i="14"/>
  <c r="AJ76" i="14"/>
  <c r="AJ45" i="14"/>
  <c r="AH68" i="13"/>
  <c r="AF84" i="14" l="1"/>
  <c r="AF76" i="14"/>
  <c r="AH69" i="13"/>
  <c r="AH51" i="13"/>
  <c r="AB84" i="14" l="1"/>
  <c r="AB76" i="14"/>
  <c r="X84" i="14" l="1"/>
  <c r="X76" i="14"/>
  <c r="AH55" i="13"/>
  <c r="U47" i="14" l="1"/>
  <c r="T76" i="14"/>
  <c r="T84" i="14"/>
  <c r="T45" i="14"/>
  <c r="K64" i="14" l="1"/>
  <c r="L64" i="14"/>
  <c r="M64" i="14"/>
  <c r="AH13" i="13" l="1"/>
  <c r="AH12" i="13"/>
  <c r="AH40" i="13" l="1"/>
  <c r="AS88" i="14" l="1"/>
  <c r="AO88" i="14"/>
  <c r="AK88" i="14"/>
  <c r="AG88" i="14"/>
  <c r="AC88" i="14"/>
  <c r="Y88" i="14"/>
  <c r="U88" i="14"/>
  <c r="R88" i="14"/>
  <c r="Q88" i="14"/>
  <c r="N88" i="14"/>
  <c r="M88" i="14"/>
  <c r="J88" i="14"/>
  <c r="G88" i="14"/>
  <c r="D85" i="14"/>
  <c r="D88" i="14" s="1"/>
  <c r="AS80" i="14"/>
  <c r="AO80" i="14"/>
  <c r="AK80" i="14"/>
  <c r="AG80" i="14"/>
  <c r="AC80" i="14"/>
  <c r="Y80" i="14"/>
  <c r="U80" i="14"/>
  <c r="R80" i="14"/>
  <c r="Q80" i="14"/>
  <c r="N80" i="14"/>
  <c r="M80" i="14"/>
  <c r="J80" i="14"/>
  <c r="G80" i="14"/>
  <c r="D77" i="14"/>
  <c r="D80" i="14" s="1"/>
  <c r="D69" i="14" l="1"/>
  <c r="G69" i="14" s="1"/>
  <c r="D68" i="14"/>
  <c r="G68" i="14" s="1"/>
  <c r="G72" i="14" s="1"/>
  <c r="D56" i="14"/>
  <c r="D40" i="14"/>
  <c r="D13" i="14"/>
  <c r="G13" i="14" s="1"/>
  <c r="D12" i="14"/>
  <c r="W69" i="12"/>
  <c r="W68" i="12"/>
  <c r="W61" i="12"/>
  <c r="W55" i="12"/>
  <c r="W53" i="12"/>
  <c r="W52" i="12"/>
  <c r="W47" i="12"/>
  <c r="W45" i="12"/>
  <c r="W39" i="12"/>
  <c r="W37" i="12"/>
  <c r="W36" i="12"/>
  <c r="W31" i="12"/>
  <c r="W30" i="12"/>
  <c r="W28" i="12"/>
  <c r="W27" i="12"/>
  <c r="W26" i="12"/>
  <c r="W22" i="12"/>
  <c r="W21" i="12"/>
  <c r="W19" i="12"/>
  <c r="W18" i="12"/>
  <c r="W17" i="12"/>
  <c r="W16" i="12"/>
  <c r="W13" i="12"/>
  <c r="W12" i="12"/>
  <c r="W11" i="12"/>
  <c r="W10" i="12"/>
  <c r="W8" i="12"/>
  <c r="W7" i="12"/>
  <c r="W6" i="12"/>
  <c r="W5" i="12"/>
  <c r="AO72" i="14"/>
  <c r="AK72" i="14"/>
  <c r="AG72" i="14"/>
  <c r="AC72" i="14"/>
  <c r="Y72" i="14"/>
  <c r="U72" i="14"/>
  <c r="R72" i="14"/>
  <c r="Q72" i="14"/>
  <c r="N72" i="14"/>
  <c r="M72" i="14"/>
  <c r="J72" i="14"/>
  <c r="AS72" i="14"/>
  <c r="AS64" i="14"/>
  <c r="AO64" i="14"/>
  <c r="AK64" i="14"/>
  <c r="AG64" i="14"/>
  <c r="AC64" i="14"/>
  <c r="Y64" i="14"/>
  <c r="U64" i="14"/>
  <c r="Q64" i="14"/>
  <c r="N64" i="14"/>
  <c r="J64" i="14"/>
  <c r="G64" i="14"/>
  <c r="D64" i="14"/>
  <c r="R60" i="14"/>
  <c r="R64" i="14" s="1"/>
  <c r="AO56" i="14"/>
  <c r="AK56" i="14"/>
  <c r="AG56" i="14"/>
  <c r="Y56" i="14"/>
  <c r="AS55" i="14"/>
  <c r="AS56" i="14" s="1"/>
  <c r="AC55" i="14"/>
  <c r="AC56" i="14" s="1"/>
  <c r="G55" i="14"/>
  <c r="G56" i="14" s="1"/>
  <c r="AS48" i="14"/>
  <c r="AO48" i="14"/>
  <c r="AK48" i="14"/>
  <c r="AG48" i="14"/>
  <c r="AC48" i="14"/>
  <c r="Y48" i="14"/>
  <c r="Q48" i="14"/>
  <c r="M48" i="14"/>
  <c r="J48" i="14"/>
  <c r="G48" i="14"/>
  <c r="D48" i="14"/>
  <c r="U48" i="14"/>
  <c r="AS40" i="14"/>
  <c r="AO40" i="14"/>
  <c r="AK40" i="14"/>
  <c r="AG40" i="14"/>
  <c r="AC40" i="14"/>
  <c r="Q40" i="14"/>
  <c r="M40" i="14"/>
  <c r="J40" i="14"/>
  <c r="G40" i="14"/>
  <c r="U40" i="14"/>
  <c r="AS32" i="14"/>
  <c r="AO32" i="14"/>
  <c r="AK32" i="14"/>
  <c r="AG32" i="14"/>
  <c r="AC32" i="14"/>
  <c r="Y32" i="14"/>
  <c r="U32" i="14"/>
  <c r="Q32" i="14"/>
  <c r="M32" i="14"/>
  <c r="J32" i="14"/>
  <c r="G32" i="14"/>
  <c r="D32" i="14"/>
  <c r="AS23" i="14"/>
  <c r="AO23" i="14"/>
  <c r="AK23" i="14"/>
  <c r="AG23" i="14"/>
  <c r="AC23" i="14"/>
  <c r="Y23" i="14"/>
  <c r="U23" i="14"/>
  <c r="Q23" i="14"/>
  <c r="M23" i="14"/>
  <c r="J23" i="14"/>
  <c r="G23" i="14"/>
  <c r="D23" i="14"/>
  <c r="AS14" i="14"/>
  <c r="AO14" i="14"/>
  <c r="AK14" i="14"/>
  <c r="AC14" i="14"/>
  <c r="Y14" i="14"/>
  <c r="U14" i="14"/>
  <c r="R14" i="14"/>
  <c r="Q14" i="14"/>
  <c r="N14" i="14"/>
  <c r="M14" i="14"/>
  <c r="J14" i="14"/>
  <c r="AG14" i="14"/>
  <c r="D14" i="14" l="1"/>
  <c r="G12" i="14"/>
  <c r="G14" i="14" s="1"/>
  <c r="D72" i="14"/>
  <c r="J55" i="14"/>
  <c r="AG69" i="13"/>
  <c r="AG68" i="13"/>
  <c r="AG55" i="13"/>
  <c r="X68" i="13"/>
  <c r="X13" i="13"/>
  <c r="U55" i="13"/>
  <c r="O55" i="13"/>
  <c r="O47" i="13"/>
  <c r="O45" i="13"/>
  <c r="O39" i="13"/>
  <c r="O37" i="13"/>
  <c r="O36" i="13"/>
  <c r="L55" i="13"/>
  <c r="I55" i="13"/>
  <c r="G68" i="13"/>
  <c r="G55" i="13"/>
  <c r="E55" i="13"/>
  <c r="C56" i="13"/>
  <c r="C48" i="13"/>
  <c r="C40" i="13"/>
  <c r="C32" i="13"/>
  <c r="C23" i="13"/>
  <c r="C14" i="13"/>
  <c r="C45" i="13"/>
  <c r="AG72" i="13"/>
  <c r="AD72" i="13"/>
  <c r="AA72" i="13"/>
  <c r="X72" i="13"/>
  <c r="U72" i="13"/>
  <c r="O72" i="13"/>
  <c r="M72" i="13"/>
  <c r="L72" i="13"/>
  <c r="J72" i="13"/>
  <c r="I72" i="13"/>
  <c r="G72" i="13"/>
  <c r="E72" i="13"/>
  <c r="C72" i="13"/>
  <c r="R72" i="13"/>
  <c r="AG64" i="13"/>
  <c r="AD64" i="13"/>
  <c r="AA64" i="13"/>
  <c r="X64" i="13"/>
  <c r="U64" i="13"/>
  <c r="R64" i="13"/>
  <c r="O64" i="13"/>
  <c r="L64" i="13"/>
  <c r="J64" i="13"/>
  <c r="G64" i="13"/>
  <c r="E64" i="13"/>
  <c r="C64" i="13"/>
  <c r="M60" i="13"/>
  <c r="M64" i="13"/>
  <c r="AD56" i="13"/>
  <c r="AA56" i="13"/>
  <c r="R56" i="13"/>
  <c r="O56" i="13"/>
  <c r="L56" i="13"/>
  <c r="I56" i="13"/>
  <c r="G56" i="13"/>
  <c r="E56" i="13"/>
  <c r="AG56" i="13"/>
  <c r="X56" i="13"/>
  <c r="U56" i="13"/>
  <c r="AG48" i="13"/>
  <c r="AD48" i="13"/>
  <c r="U48" i="13"/>
  <c r="R48" i="13"/>
  <c r="O48" i="13"/>
  <c r="L48" i="13"/>
  <c r="I48" i="13"/>
  <c r="G48" i="13"/>
  <c r="E48" i="13"/>
  <c r="AA48" i="13"/>
  <c r="X48" i="13"/>
  <c r="AG40" i="13"/>
  <c r="AD40" i="13"/>
  <c r="AA40" i="13"/>
  <c r="X40" i="13"/>
  <c r="U40" i="13"/>
  <c r="R40" i="13"/>
  <c r="O40" i="13"/>
  <c r="L40" i="13"/>
  <c r="I40" i="13"/>
  <c r="G40" i="13"/>
  <c r="E40" i="13"/>
  <c r="AG32" i="13"/>
  <c r="AD32" i="13"/>
  <c r="AA32" i="13"/>
  <c r="X32" i="13"/>
  <c r="U32" i="13"/>
  <c r="R32" i="13"/>
  <c r="O32" i="13"/>
  <c r="L32" i="13"/>
  <c r="I32" i="13"/>
  <c r="G32" i="13"/>
  <c r="E32" i="13"/>
  <c r="AG23" i="13"/>
  <c r="AD23" i="13"/>
  <c r="AA23" i="13"/>
  <c r="X23" i="13"/>
  <c r="U23" i="13"/>
  <c r="R23" i="13"/>
  <c r="O23" i="13"/>
  <c r="L23" i="13"/>
  <c r="I23" i="13"/>
  <c r="G23" i="13"/>
  <c r="E23" i="13"/>
  <c r="AG14" i="13"/>
  <c r="AD14" i="13"/>
  <c r="AA14" i="13"/>
  <c r="X14" i="13"/>
  <c r="U14" i="13"/>
  <c r="R14" i="13"/>
  <c r="O14" i="13"/>
  <c r="L14" i="13"/>
  <c r="J14" i="13"/>
  <c r="I14" i="13"/>
  <c r="G14" i="13"/>
  <c r="E14" i="13"/>
  <c r="M14" i="13"/>
  <c r="V55" i="12"/>
  <c r="U47" i="12"/>
  <c r="U31" i="12"/>
  <c r="U30" i="12"/>
  <c r="U22" i="12"/>
  <c r="U21" i="12"/>
  <c r="U13" i="12"/>
  <c r="U11" i="12"/>
  <c r="U10" i="12"/>
  <c r="O80" i="11"/>
  <c r="O79" i="11"/>
  <c r="O72" i="11"/>
  <c r="O64" i="11"/>
  <c r="O56" i="11"/>
  <c r="O47" i="11"/>
  <c r="O42" i="11"/>
  <c r="O40" i="11"/>
  <c r="O39" i="11"/>
  <c r="O34" i="11"/>
  <c r="O32" i="11"/>
  <c r="O31" i="11"/>
  <c r="O26" i="11"/>
  <c r="O24" i="11"/>
  <c r="O23" i="11"/>
  <c r="O22" i="11"/>
  <c r="O18" i="11"/>
  <c r="O16" i="11"/>
  <c r="O15" i="11"/>
  <c r="O14" i="11"/>
  <c r="O13" i="11"/>
  <c r="O10" i="11"/>
  <c r="O8" i="11"/>
  <c r="O7" i="11"/>
  <c r="O6" i="11"/>
  <c r="O5" i="11"/>
  <c r="S47" i="12"/>
  <c r="S39" i="12"/>
  <c r="S31" i="12"/>
  <c r="S30" i="12"/>
  <c r="S22" i="12"/>
  <c r="S21" i="12"/>
  <c r="S13" i="12"/>
  <c r="S11" i="12"/>
  <c r="S10" i="12"/>
  <c r="R45" i="12"/>
  <c r="Q68" i="12"/>
  <c r="Q47" i="12"/>
  <c r="Q31" i="12"/>
  <c r="Q30" i="12"/>
  <c r="Q22" i="12"/>
  <c r="Q21" i="12"/>
  <c r="Q13" i="12"/>
  <c r="Q11" i="12"/>
  <c r="Q10" i="12"/>
  <c r="P45" i="12"/>
  <c r="P55" i="12"/>
  <c r="O47" i="12"/>
  <c r="O31" i="12"/>
  <c r="O30" i="12"/>
  <c r="O22" i="12"/>
  <c r="O21" i="12"/>
  <c r="O13" i="12"/>
  <c r="O11" i="12"/>
  <c r="O10" i="12"/>
  <c r="P32" i="12"/>
  <c r="R32" i="12"/>
  <c r="T32" i="12"/>
  <c r="V32" i="12"/>
  <c r="N32" i="12"/>
  <c r="P23" i="12"/>
  <c r="R23" i="12"/>
  <c r="T23" i="12"/>
  <c r="V23" i="12"/>
  <c r="N23" i="12"/>
  <c r="L23" i="12"/>
  <c r="N55" i="12"/>
  <c r="M61" i="12"/>
  <c r="M47" i="12"/>
  <c r="M31" i="12"/>
  <c r="M30" i="12"/>
  <c r="M22" i="12"/>
  <c r="M21" i="12"/>
  <c r="M13" i="12"/>
  <c r="M11" i="12"/>
  <c r="M10" i="12"/>
  <c r="K61" i="12"/>
  <c r="L68" i="12"/>
  <c r="L32" i="12"/>
  <c r="D14" i="12"/>
  <c r="E14" i="12"/>
  <c r="F14" i="12"/>
  <c r="G14" i="12"/>
  <c r="H14" i="12"/>
  <c r="I14" i="12"/>
  <c r="J14" i="12"/>
  <c r="L14" i="12"/>
  <c r="N14" i="12"/>
  <c r="P14" i="12"/>
  <c r="R14" i="12"/>
  <c r="T14" i="12"/>
  <c r="V14" i="12"/>
  <c r="C14" i="12"/>
  <c r="V72" i="12"/>
  <c r="T72" i="12"/>
  <c r="R72" i="12"/>
  <c r="P72" i="12"/>
  <c r="N72" i="12"/>
  <c r="L72" i="12"/>
  <c r="J72" i="12"/>
  <c r="I72" i="12"/>
  <c r="H72" i="12"/>
  <c r="G72" i="12"/>
  <c r="F72" i="12"/>
  <c r="E72" i="12"/>
  <c r="D72" i="12"/>
  <c r="C72" i="12"/>
  <c r="I68" i="12"/>
  <c r="J32" i="12"/>
  <c r="D64" i="12"/>
  <c r="E64" i="12"/>
  <c r="F64" i="12"/>
  <c r="G64" i="12"/>
  <c r="H64" i="12"/>
  <c r="J64" i="12"/>
  <c r="L64" i="12"/>
  <c r="N64" i="12"/>
  <c r="P64" i="12"/>
  <c r="R64" i="12"/>
  <c r="T64" i="12"/>
  <c r="V64" i="12"/>
  <c r="C64" i="12"/>
  <c r="I60" i="12"/>
  <c r="I64" i="12"/>
  <c r="C56" i="12"/>
  <c r="V56" i="12"/>
  <c r="T56" i="12"/>
  <c r="R56" i="12"/>
  <c r="P56" i="12"/>
  <c r="N56" i="12"/>
  <c r="L56" i="12"/>
  <c r="J56" i="12"/>
  <c r="H56" i="12"/>
  <c r="F56" i="12"/>
  <c r="E56" i="12"/>
  <c r="D56" i="12"/>
  <c r="I52" i="12"/>
  <c r="I31" i="12"/>
  <c r="I30" i="12"/>
  <c r="I22" i="12"/>
  <c r="I21" i="12"/>
  <c r="I11" i="12"/>
  <c r="I10" i="12"/>
  <c r="C32" i="12"/>
  <c r="H32" i="12"/>
  <c r="D32" i="12"/>
  <c r="E32" i="12"/>
  <c r="F32" i="12"/>
  <c r="C40" i="12"/>
  <c r="C48" i="12"/>
  <c r="D23" i="12"/>
  <c r="E23" i="12"/>
  <c r="F23" i="12"/>
  <c r="J23" i="12"/>
  <c r="C23" i="12"/>
  <c r="H23" i="12"/>
  <c r="Q6" i="11"/>
  <c r="Q7" i="11"/>
  <c r="Q8" i="11"/>
  <c r="Q10" i="11"/>
  <c r="Q13" i="11"/>
  <c r="Q14" i="11"/>
  <c r="Q15" i="11"/>
  <c r="Q16" i="11"/>
  <c r="Q18" i="11"/>
  <c r="Q22" i="11"/>
  <c r="Q23" i="11"/>
  <c r="Q24" i="11"/>
  <c r="Q26" i="11"/>
  <c r="Q31" i="11"/>
  <c r="Q32" i="11"/>
  <c r="Q34" i="11"/>
  <c r="Q39" i="11"/>
  <c r="Q40" i="11"/>
  <c r="Q42" i="11"/>
  <c r="Q47" i="11"/>
  <c r="Q56" i="11"/>
  <c r="Q64" i="11"/>
  <c r="Q72" i="11"/>
  <c r="Q79" i="11"/>
  <c r="Q80" i="11"/>
  <c r="Q5" i="11"/>
  <c r="V48" i="12"/>
  <c r="T48" i="12"/>
  <c r="R48" i="12"/>
  <c r="P48" i="12"/>
  <c r="N48" i="12"/>
  <c r="L48" i="12"/>
  <c r="J48" i="12"/>
  <c r="H48" i="12"/>
  <c r="F48" i="12"/>
  <c r="E48" i="12"/>
  <c r="D48" i="12"/>
  <c r="V40" i="12"/>
  <c r="T40" i="12"/>
  <c r="R40" i="12"/>
  <c r="P40" i="12"/>
  <c r="N40" i="12"/>
  <c r="L40" i="12"/>
  <c r="J40" i="12"/>
  <c r="H40" i="12"/>
  <c r="F40" i="12"/>
  <c r="E40" i="12"/>
  <c r="D40" i="12"/>
  <c r="N91" i="11"/>
  <c r="M91" i="11"/>
  <c r="L91" i="11"/>
  <c r="K91" i="11"/>
  <c r="J91" i="11"/>
  <c r="I91" i="11"/>
  <c r="H91" i="11"/>
  <c r="G91" i="11"/>
  <c r="F91" i="11"/>
  <c r="E91" i="11"/>
  <c r="D91" i="11"/>
  <c r="C91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N43" i="11"/>
  <c r="M43" i="11"/>
  <c r="L43" i="11"/>
  <c r="K43" i="11"/>
  <c r="J43" i="11"/>
  <c r="I43" i="11"/>
  <c r="E43" i="11"/>
  <c r="D43" i="11"/>
  <c r="C43" i="11"/>
  <c r="G43" i="11"/>
  <c r="H43" i="11"/>
  <c r="F43" i="11"/>
  <c r="N35" i="11"/>
  <c r="M35" i="11"/>
  <c r="L35" i="11"/>
  <c r="K35" i="11"/>
  <c r="J35" i="11"/>
  <c r="I35" i="11"/>
  <c r="G35" i="11"/>
  <c r="F35" i="11"/>
  <c r="E35" i="11"/>
  <c r="D35" i="11"/>
  <c r="C35" i="11"/>
  <c r="H35" i="11"/>
  <c r="N27" i="11"/>
  <c r="M27" i="11"/>
  <c r="L27" i="11"/>
  <c r="K27" i="11"/>
  <c r="J27" i="11"/>
  <c r="I27" i="11"/>
  <c r="F27" i="11"/>
  <c r="E27" i="11"/>
  <c r="D27" i="11"/>
  <c r="C27" i="11"/>
  <c r="H27" i="11"/>
  <c r="G27" i="11"/>
  <c r="N19" i="11"/>
  <c r="M19" i="11"/>
  <c r="L19" i="11"/>
  <c r="K19" i="11"/>
  <c r="J19" i="11"/>
  <c r="I19" i="11"/>
  <c r="E19" i="11"/>
  <c r="D19" i="11"/>
  <c r="C19" i="11"/>
  <c r="H19" i="11"/>
  <c r="F19" i="11"/>
  <c r="G19" i="11"/>
  <c r="N11" i="11"/>
  <c r="M11" i="11"/>
  <c r="L11" i="11"/>
  <c r="K11" i="11"/>
  <c r="J11" i="11"/>
  <c r="I11" i="11"/>
  <c r="E11" i="11"/>
  <c r="D11" i="11"/>
  <c r="C11" i="11"/>
  <c r="H11" i="11"/>
  <c r="F11" i="11"/>
  <c r="G11" i="11"/>
  <c r="L11" i="10"/>
  <c r="L19" i="10"/>
  <c r="L27" i="10"/>
  <c r="L35" i="10"/>
  <c r="L43" i="10"/>
  <c r="L51" i="10"/>
  <c r="L59" i="10"/>
  <c r="L67" i="10"/>
  <c r="L75" i="10"/>
  <c r="L83" i="10"/>
  <c r="L91" i="10"/>
  <c r="J11" i="10"/>
  <c r="J19" i="10"/>
  <c r="J27" i="10"/>
  <c r="J35" i="10"/>
  <c r="J43" i="10"/>
  <c r="J51" i="10"/>
  <c r="J59" i="10"/>
  <c r="J67" i="10"/>
  <c r="J75" i="10"/>
  <c r="J83" i="10"/>
  <c r="J91" i="10"/>
  <c r="G26" i="10"/>
  <c r="H40" i="10"/>
  <c r="H39" i="10"/>
  <c r="H32" i="10"/>
  <c r="H31" i="10"/>
  <c r="H34" i="10"/>
  <c r="H26" i="10"/>
  <c r="H24" i="10"/>
  <c r="H80" i="10"/>
  <c r="H8" i="10"/>
  <c r="H18" i="10"/>
  <c r="H15" i="10"/>
  <c r="H13" i="10"/>
  <c r="H7" i="10"/>
  <c r="H10" i="10"/>
  <c r="H5" i="10"/>
  <c r="G24" i="10"/>
  <c r="G40" i="10"/>
  <c r="G39" i="10"/>
  <c r="G5" i="10"/>
  <c r="G8" i="10"/>
  <c r="G7" i="10"/>
  <c r="G15" i="10"/>
  <c r="G13" i="10"/>
  <c r="G10" i="10"/>
  <c r="F26" i="10"/>
  <c r="F24" i="10"/>
  <c r="F18" i="10"/>
  <c r="F15" i="10"/>
  <c r="F13" i="10"/>
  <c r="F10" i="10"/>
  <c r="F5" i="10"/>
  <c r="F7" i="10"/>
  <c r="F40" i="10"/>
  <c r="F39" i="10"/>
  <c r="F8" i="10"/>
  <c r="D26" i="10"/>
  <c r="D24" i="10"/>
  <c r="N91" i="10"/>
  <c r="M91" i="10"/>
  <c r="K91" i="10"/>
  <c r="I91" i="10"/>
  <c r="H91" i="10"/>
  <c r="G91" i="10"/>
  <c r="F91" i="10"/>
  <c r="E91" i="10"/>
  <c r="D91" i="10"/>
  <c r="C91" i="10"/>
  <c r="N83" i="10"/>
  <c r="M83" i="10"/>
  <c r="K83" i="10"/>
  <c r="I83" i="10"/>
  <c r="H83" i="10"/>
  <c r="G83" i="10"/>
  <c r="F83" i="10"/>
  <c r="E83" i="10"/>
  <c r="D83" i="10"/>
  <c r="C83" i="10"/>
  <c r="N75" i="10"/>
  <c r="M75" i="10"/>
  <c r="K75" i="10"/>
  <c r="I75" i="10"/>
  <c r="H75" i="10"/>
  <c r="G75" i="10"/>
  <c r="F75" i="10"/>
  <c r="E75" i="10"/>
  <c r="D75" i="10"/>
  <c r="C75" i="10"/>
  <c r="N67" i="10"/>
  <c r="M67" i="10"/>
  <c r="K67" i="10"/>
  <c r="I67" i="10"/>
  <c r="H67" i="10"/>
  <c r="G67" i="10"/>
  <c r="F67" i="10"/>
  <c r="E67" i="10"/>
  <c r="D67" i="10"/>
  <c r="C67" i="10"/>
  <c r="N59" i="10"/>
  <c r="M59" i="10"/>
  <c r="K59" i="10"/>
  <c r="I59" i="10"/>
  <c r="H59" i="10"/>
  <c r="G59" i="10"/>
  <c r="F59" i="10"/>
  <c r="E59" i="10"/>
  <c r="D59" i="10"/>
  <c r="C59" i="10"/>
  <c r="N51" i="10"/>
  <c r="M51" i="10"/>
  <c r="K51" i="10"/>
  <c r="I51" i="10"/>
  <c r="H51" i="10"/>
  <c r="G51" i="10"/>
  <c r="F51" i="10"/>
  <c r="E51" i="10"/>
  <c r="D51" i="10"/>
  <c r="C51" i="10"/>
  <c r="N43" i="10"/>
  <c r="M43" i="10"/>
  <c r="K43" i="10"/>
  <c r="F43" i="10"/>
  <c r="G43" i="10"/>
  <c r="C43" i="10"/>
  <c r="I43" i="10"/>
  <c r="H43" i="10"/>
  <c r="E43" i="10"/>
  <c r="D43" i="10"/>
  <c r="N35" i="10"/>
  <c r="M35" i="10"/>
  <c r="K35" i="10"/>
  <c r="I35" i="10"/>
  <c r="H35" i="10"/>
  <c r="G35" i="10"/>
  <c r="F35" i="10"/>
  <c r="E35" i="10"/>
  <c r="D35" i="10"/>
  <c r="C35" i="10"/>
  <c r="M27" i="10"/>
  <c r="I27" i="10"/>
  <c r="H27" i="10"/>
  <c r="E27" i="10"/>
  <c r="D27" i="10"/>
  <c r="F27" i="10"/>
  <c r="N27" i="10"/>
  <c r="K27" i="10"/>
  <c r="G27" i="10"/>
  <c r="C27" i="10"/>
  <c r="N19" i="10"/>
  <c r="M19" i="10"/>
  <c r="G19" i="10"/>
  <c r="C19" i="10"/>
  <c r="H19" i="10"/>
  <c r="D19" i="10"/>
  <c r="I19" i="10"/>
  <c r="E19" i="10"/>
  <c r="K19" i="10"/>
  <c r="F19" i="10"/>
  <c r="N11" i="10"/>
  <c r="M11" i="10"/>
  <c r="K11" i="10"/>
  <c r="I11" i="10"/>
  <c r="H11" i="10"/>
  <c r="G11" i="10"/>
  <c r="F11" i="10"/>
  <c r="E11" i="10"/>
  <c r="D11" i="10"/>
  <c r="C11" i="10"/>
  <c r="N26" i="9"/>
  <c r="N99" i="9"/>
  <c r="M99" i="9"/>
  <c r="L99" i="9"/>
  <c r="K99" i="9"/>
  <c r="J99" i="9"/>
  <c r="I99" i="9"/>
  <c r="H99" i="9"/>
  <c r="G99" i="9"/>
  <c r="F99" i="9"/>
  <c r="E99" i="9"/>
  <c r="D99" i="9"/>
  <c r="C99" i="9"/>
  <c r="N24" i="9"/>
  <c r="N91" i="9"/>
  <c r="M91" i="9"/>
  <c r="L91" i="9"/>
  <c r="K91" i="9"/>
  <c r="J91" i="9"/>
  <c r="I91" i="9"/>
  <c r="H91" i="9"/>
  <c r="G91" i="9"/>
  <c r="F91" i="9"/>
  <c r="E91" i="9"/>
  <c r="D91" i="9"/>
  <c r="C91" i="9"/>
  <c r="N83" i="9"/>
  <c r="M83" i="9"/>
  <c r="L83" i="9"/>
  <c r="K83" i="9"/>
  <c r="J83" i="9"/>
  <c r="I83" i="9"/>
  <c r="H83" i="9"/>
  <c r="G83" i="9"/>
  <c r="F83" i="9"/>
  <c r="E83" i="9"/>
  <c r="D83" i="9"/>
  <c r="C83" i="9"/>
  <c r="N75" i="9"/>
  <c r="M75" i="9"/>
  <c r="L75" i="9"/>
  <c r="K75" i="9"/>
  <c r="J75" i="9"/>
  <c r="I75" i="9"/>
  <c r="H75" i="9"/>
  <c r="G75" i="9"/>
  <c r="F75" i="9"/>
  <c r="E75" i="9"/>
  <c r="D75" i="9"/>
  <c r="C75" i="9"/>
  <c r="N67" i="9"/>
  <c r="M67" i="9"/>
  <c r="L67" i="9"/>
  <c r="K67" i="9"/>
  <c r="J67" i="9"/>
  <c r="I67" i="9"/>
  <c r="H67" i="9"/>
  <c r="G67" i="9"/>
  <c r="F67" i="9"/>
  <c r="E67" i="9"/>
  <c r="D67" i="9"/>
  <c r="C67" i="9"/>
  <c r="N59" i="9"/>
  <c r="M59" i="9"/>
  <c r="L59" i="9"/>
  <c r="K59" i="9"/>
  <c r="J59" i="9"/>
  <c r="I59" i="9"/>
  <c r="H59" i="9"/>
  <c r="G59" i="9"/>
  <c r="F59" i="9"/>
  <c r="E59" i="9"/>
  <c r="D59" i="9"/>
  <c r="C59" i="9"/>
  <c r="N51" i="9"/>
  <c r="M51" i="9"/>
  <c r="J51" i="9"/>
  <c r="L48" i="9"/>
  <c r="K48" i="9"/>
  <c r="I48" i="9"/>
  <c r="H48" i="9"/>
  <c r="G48" i="9"/>
  <c r="F48" i="9"/>
  <c r="E48" i="9"/>
  <c r="D48" i="9"/>
  <c r="C48" i="9"/>
  <c r="L47" i="9"/>
  <c r="K47" i="9"/>
  <c r="I47" i="9"/>
  <c r="H47" i="9"/>
  <c r="H51" i="9"/>
  <c r="G47" i="9"/>
  <c r="F47" i="9"/>
  <c r="E47" i="9"/>
  <c r="D47" i="9"/>
  <c r="D51" i="9"/>
  <c r="C47" i="9"/>
  <c r="N43" i="9"/>
  <c r="M43" i="9"/>
  <c r="L43" i="9"/>
  <c r="K43" i="9"/>
  <c r="J43" i="9"/>
  <c r="I43" i="9"/>
  <c r="H43" i="9"/>
  <c r="G43" i="9"/>
  <c r="F43" i="9"/>
  <c r="E43" i="9"/>
  <c r="D43" i="9"/>
  <c r="C43" i="9"/>
  <c r="N35" i="9"/>
  <c r="M35" i="9"/>
  <c r="L35" i="9"/>
  <c r="K35" i="9"/>
  <c r="J35" i="9"/>
  <c r="I35" i="9"/>
  <c r="H35" i="9"/>
  <c r="G35" i="9"/>
  <c r="F35" i="9"/>
  <c r="E35" i="9"/>
  <c r="D35" i="9"/>
  <c r="C35" i="9"/>
  <c r="N27" i="9"/>
  <c r="M27" i="9"/>
  <c r="J27" i="9"/>
  <c r="L26" i="9"/>
  <c r="L27" i="9"/>
  <c r="K26" i="9"/>
  <c r="I26" i="9"/>
  <c r="H26" i="9"/>
  <c r="G26" i="9"/>
  <c r="F26" i="9"/>
  <c r="E26" i="9"/>
  <c r="D26" i="9"/>
  <c r="C26" i="9"/>
  <c r="K24" i="9"/>
  <c r="K27" i="9"/>
  <c r="I24" i="9"/>
  <c r="I27" i="9"/>
  <c r="H24" i="9"/>
  <c r="H27" i="9"/>
  <c r="G24" i="9"/>
  <c r="G27" i="9"/>
  <c r="F24" i="9"/>
  <c r="F27" i="9"/>
  <c r="E24" i="9"/>
  <c r="E27" i="9"/>
  <c r="D24" i="9"/>
  <c r="D27" i="9"/>
  <c r="C24" i="9"/>
  <c r="C27" i="9"/>
  <c r="N19" i="9"/>
  <c r="M19" i="9"/>
  <c r="J19" i="9"/>
  <c r="L18" i="9"/>
  <c r="K18" i="9"/>
  <c r="I18" i="9"/>
  <c r="H18" i="9"/>
  <c r="G18" i="9"/>
  <c r="F18" i="9"/>
  <c r="E18" i="9"/>
  <c r="D18" i="9"/>
  <c r="C18" i="9"/>
  <c r="L15" i="9"/>
  <c r="K15" i="9"/>
  <c r="I15" i="9"/>
  <c r="H15" i="9"/>
  <c r="G15" i="9"/>
  <c r="F15" i="9"/>
  <c r="E15" i="9"/>
  <c r="D15" i="9"/>
  <c r="C15" i="9"/>
  <c r="L13" i="9"/>
  <c r="K13" i="9"/>
  <c r="K19" i="9"/>
  <c r="I13" i="9"/>
  <c r="H13" i="9"/>
  <c r="G13" i="9"/>
  <c r="F13" i="9"/>
  <c r="F19" i="9"/>
  <c r="E13" i="9"/>
  <c r="D13" i="9"/>
  <c r="C13" i="9"/>
  <c r="N11" i="9"/>
  <c r="J11" i="9"/>
  <c r="M11" i="9"/>
  <c r="L10" i="9"/>
  <c r="K10" i="9"/>
  <c r="I10" i="9"/>
  <c r="H10" i="9"/>
  <c r="G10" i="9"/>
  <c r="F10" i="9"/>
  <c r="E10" i="9"/>
  <c r="D10" i="9"/>
  <c r="C10" i="9"/>
  <c r="L8" i="9"/>
  <c r="K8" i="9"/>
  <c r="I8" i="9"/>
  <c r="H8" i="9"/>
  <c r="G8" i="9"/>
  <c r="F8" i="9"/>
  <c r="E8" i="9"/>
  <c r="D8" i="9"/>
  <c r="C8" i="9"/>
  <c r="L7" i="9"/>
  <c r="K7" i="9"/>
  <c r="I7" i="9"/>
  <c r="H7" i="9"/>
  <c r="G7" i="9"/>
  <c r="F7" i="9"/>
  <c r="E7" i="9"/>
  <c r="D7" i="9"/>
  <c r="C7" i="9"/>
  <c r="L5" i="9"/>
  <c r="K5" i="9"/>
  <c r="I5" i="9"/>
  <c r="H5" i="9"/>
  <c r="G5" i="9"/>
  <c r="F5" i="9"/>
  <c r="E5" i="9"/>
  <c r="D5" i="9"/>
  <c r="C5" i="9"/>
  <c r="N27" i="8"/>
  <c r="K27" i="8"/>
  <c r="I27" i="8"/>
  <c r="G27" i="8"/>
  <c r="E27" i="8"/>
  <c r="D27" i="8"/>
  <c r="C27" i="8"/>
  <c r="M26" i="8"/>
  <c r="M27" i="8" s="1"/>
  <c r="L26" i="8"/>
  <c r="J26" i="8"/>
  <c r="J27" i="8"/>
  <c r="H26" i="8"/>
  <c r="H27" i="8"/>
  <c r="F26" i="8"/>
  <c r="L24" i="8"/>
  <c r="F24" i="8"/>
  <c r="L23" i="8"/>
  <c r="F23" i="8"/>
  <c r="F27" i="8" s="1"/>
  <c r="F30" i="8" s="1"/>
  <c r="L22" i="8"/>
  <c r="F22" i="8"/>
  <c r="N19" i="8"/>
  <c r="K19" i="8"/>
  <c r="J19" i="8"/>
  <c r="I19" i="8"/>
  <c r="G19" i="8"/>
  <c r="E19" i="8"/>
  <c r="E30" i="8" s="1"/>
  <c r="D19" i="8"/>
  <c r="C19" i="8"/>
  <c r="M18" i="8"/>
  <c r="M19" i="8"/>
  <c r="L18" i="8"/>
  <c r="H18" i="8"/>
  <c r="H19" i="8"/>
  <c r="F18" i="8"/>
  <c r="L16" i="8"/>
  <c r="F16" i="8"/>
  <c r="L15" i="8"/>
  <c r="F15" i="8"/>
  <c r="L14" i="8"/>
  <c r="L19" i="8" s="1"/>
  <c r="F14" i="8"/>
  <c r="L13" i="8"/>
  <c r="F13" i="8"/>
  <c r="L11" i="8"/>
  <c r="K11" i="8"/>
  <c r="J11" i="8"/>
  <c r="I11" i="8"/>
  <c r="H11" i="8"/>
  <c r="G11" i="8"/>
  <c r="E11" i="8"/>
  <c r="D11" i="8"/>
  <c r="C11" i="8"/>
  <c r="N10" i="8"/>
  <c r="M10" i="8"/>
  <c r="F10" i="8"/>
  <c r="N7" i="8"/>
  <c r="F7" i="8"/>
  <c r="N6" i="8"/>
  <c r="F6" i="8"/>
  <c r="N5" i="8"/>
  <c r="N11" i="8" s="1"/>
  <c r="M5" i="8"/>
  <c r="F5" i="8"/>
  <c r="N27" i="7"/>
  <c r="M27" i="7"/>
  <c r="L27" i="7"/>
  <c r="K27" i="7"/>
  <c r="J27" i="7"/>
  <c r="I27" i="7"/>
  <c r="H27" i="7"/>
  <c r="G27" i="7"/>
  <c r="F27" i="7"/>
  <c r="E27" i="7"/>
  <c r="D27" i="7"/>
  <c r="C27" i="7"/>
  <c r="N19" i="7"/>
  <c r="M19" i="7"/>
  <c r="L19" i="7"/>
  <c r="K19" i="7"/>
  <c r="J19" i="7"/>
  <c r="I19" i="7"/>
  <c r="H19" i="7"/>
  <c r="G19" i="7"/>
  <c r="F19" i="7"/>
  <c r="E19" i="7"/>
  <c r="D19" i="7"/>
  <c r="C19" i="7"/>
  <c r="N11" i="7"/>
  <c r="M11" i="7"/>
  <c r="L11" i="7"/>
  <c r="K11" i="7"/>
  <c r="J11" i="7"/>
  <c r="I11" i="7"/>
  <c r="H11" i="7"/>
  <c r="G11" i="7"/>
  <c r="F11" i="7"/>
  <c r="E11" i="7"/>
  <c r="D11" i="7"/>
  <c r="C11" i="7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6"/>
  <c r="C12" i="6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  <c r="C11" i="5"/>
  <c r="C12" i="5"/>
  <c r="E51" i="9"/>
  <c r="I51" i="9"/>
  <c r="E11" i="9"/>
  <c r="I11" i="9"/>
  <c r="L27" i="8"/>
  <c r="C19" i="9"/>
  <c r="G19" i="9"/>
  <c r="F51" i="9"/>
  <c r="K51" i="9"/>
  <c r="L19" i="9"/>
  <c r="N103" i="9"/>
  <c r="M103" i="9"/>
  <c r="M105" i="9"/>
  <c r="M107" i="9"/>
  <c r="N105" i="9"/>
  <c r="F11" i="8"/>
  <c r="F11" i="9"/>
  <c r="M11" i="8"/>
  <c r="C11" i="9"/>
  <c r="G11" i="9"/>
  <c r="L11" i="9"/>
  <c r="D19" i="9"/>
  <c r="H19" i="9"/>
  <c r="F19" i="8"/>
  <c r="K11" i="9"/>
  <c r="D11" i="9"/>
  <c r="H11" i="9"/>
  <c r="E19" i="9"/>
  <c r="I19" i="9"/>
  <c r="C51" i="9"/>
  <c r="G51" i="9"/>
  <c r="L51" i="9"/>
  <c r="M55" i="14" l="1"/>
  <c r="J56" i="14"/>
  <c r="M56" i="14" l="1"/>
  <c r="Q55" i="14"/>
  <c r="U55" i="14" l="1"/>
  <c r="U56" i="14" s="1"/>
  <c r="Q56" i="14"/>
</calcChain>
</file>

<file path=xl/sharedStrings.xml><?xml version="1.0" encoding="utf-8"?>
<sst xmlns="http://schemas.openxmlformats.org/spreadsheetml/2006/main" count="939" uniqueCount="61">
  <si>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</si>
  <si>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</si>
  <si>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</si>
  <si>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</si>
  <si>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</si>
  <si>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</si>
  <si>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</si>
  <si>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</si>
  <si>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</si>
  <si>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</si>
  <si>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</si>
  <si>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</si>
  <si>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</si>
  <si>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</si>
  <si>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</si>
  <si>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</si>
  <si>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</si>
  <si>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</si>
  <si>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</si>
  <si>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</si>
  <si>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</si>
  <si>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</si>
  <si>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</si>
  <si>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2015 год</t>
  </si>
  <si>
    <t>Филиал ОАО "МРСК Сибири" - "Кузбассэнерго-РЭК"</t>
  </si>
  <si>
    <t>Западно-Сибирская дирекция по энергообеспечению - структурное подразделение Трансэнерго - филиал ОАО "РЖД"</t>
  </si>
  <si>
    <t>Красноярская дирекция по энергообеспечению - структурное подразделение Трансэнерго - филиал ОАО "РЖД"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</si>
  <si>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2016 год</t>
  </si>
  <si>
    <t>Филиал ПАО "МРСК Сибири" - "Кузбассэнерго-РЭК"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</si>
  <si>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2017 год</t>
  </si>
  <si>
    <t>Филиал ПАО "МРСК Сибири" - "Кузбассэнерго-РЭС"</t>
  </si>
  <si>
    <t>ОАО Северо-Кузбасская энергетическая компания</t>
  </si>
  <si>
    <t>ООО Кузбасская энергосетевая компания</t>
  </si>
  <si>
    <t>ООО Горэлектросеть г. Новокузнецк.</t>
  </si>
  <si>
    <t>МУП "ТРСК Новокузнецкого района"</t>
  </si>
  <si>
    <t>ЗАО Электросеть г. Междуреченск</t>
  </si>
  <si>
    <t>ООО "СибЭнергоТранс-42"</t>
  </si>
  <si>
    <t>ООО "ЕвразЭнергоТранс"</t>
  </si>
  <si>
    <t>ООО "Районные электрические сети"</t>
  </si>
  <si>
    <t>АО «Сибирская Промышленная Сетевая Компания»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</si>
  <si>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</si>
  <si>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</si>
  <si>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2020 год</t>
  </si>
  <si>
    <t>Открытое акционерное общество «Северо-Кузбасская энергетическая компания»</t>
  </si>
  <si>
    <t>Общество с ограниченной ответственностью
«СибЭнергоТранс-42»</t>
  </si>
  <si>
    <t>АО ЭЛЕКТРОСЕТЬ</t>
  </si>
  <si>
    <t>СН-2</t>
  </si>
  <si>
    <t>Филиал ПАО «Россети Сибирь» - "Кузбассэнерго-РЭС"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</si>
  <si>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</si>
  <si>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2022 год</t>
  </si>
  <si>
    <t>ООО "СибЭнергоСеть"</t>
  </si>
  <si>
    <t xml:space="preserve">ООО Горэлектросеть </t>
  </si>
  <si>
    <t xml:space="preserve">ООО ТСО СИБИРЬ 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</si>
  <si>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2023 год</t>
  </si>
  <si>
    <t>ООО "Кузбасская энергосетевая компания"</t>
  </si>
  <si>
    <t>АО "ЭЛЕКТРОСЕТЬ"</t>
  </si>
  <si>
    <t>ООО "Горэлектросеть "</t>
  </si>
  <si>
    <t xml:space="preserve">ООО "ТСО "СИБИРЬ" </t>
  </si>
  <si>
    <t>Информация о фактическом полезном отпуске электрической энергии (мощности) потребителям ООО "РУСЭНЕРГОСБЫТ" в границах Кемеровской областив разрезе ТСО за 2024 год</t>
  </si>
  <si>
    <t xml:space="preserve">ООО "ЭнергоПаритет" </t>
  </si>
  <si>
    <t>Филиал ПАО "Россети Сибири" - "Кузбассэнерго-РЭС"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</si>
</sst>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/>
    <xf numFmtId="3" fontId="0" fillId="0" borderId="0" xfId="0" applyNumberFormat="1"/>
    <xf numFmtId="165" fontId="0" fillId="0" borderId="0" xfId="1" applyNumberFormat="1" applyFont="1"/>
    <xf numFmtId="164" fontId="0" fillId="0" borderId="0" xfId="1" applyFont="1"/>
    <xf numFmtId="3" fontId="6" fillId="0" borderId="0" xfId="0" applyNumberFormat="1" applyFont="1"/>
    <xf numFmtId="0" fontId="6" fillId="0" borderId="0" xfId="0" applyFont="1"/>
    <xf numFmtId="3" fontId="7" fillId="0" borderId="0" xfId="0" applyNumberFormat="1" applyFont="1"/>
    <xf numFmtId="165" fontId="7" fillId="0" borderId="0" xfId="1" applyNumberFormat="1" applyFont="1"/>
    <xf numFmtId="0" fontId="8" fillId="0" borderId="0" xfId="0" applyFont="1"/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/>
    <xf numFmtId="3" fontId="9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165" fontId="7" fillId="2" borderId="0" xfId="1" applyNumberFormat="1" applyFont="1" applyFill="1"/>
    <xf numFmtId="165" fontId="0" fillId="2" borderId="0" xfId="1" applyNumberFormat="1" applyFont="1" applyFill="1"/>
    <xf numFmtId="3" fontId="5" fillId="2" borderId="9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3" fontId="5" fillId="2" borderId="9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3" fontId="5" fillId="2" borderId="9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165" fontId="8" fillId="2" borderId="0" xfId="1" applyNumberFormat="1" applyFont="1" applyFill="1"/>
    <xf numFmtId="0" fontId="8" fillId="2" borderId="0" xfId="0" applyFont="1" applyFill="1"/>
    <xf numFmtId="3" fontId="4" fillId="2" borderId="6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 vertical="center" wrapText="1"/>
    </xf>
    <xf numFmtId="166" fontId="8" fillId="0" borderId="3" xfId="1" applyNumberFormat="1" applyFont="1" applyBorder="1"/>
    <xf numFmtId="3" fontId="5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eganina\&#1056;&#1072;&#1073;&#1086;&#1095;&#1080;&#1081;%20&#1089;&#1090;&#1086;&#1083;\&#1052;&#1054;&#1048;%20&#1091;&#1089;&#1083;&#1091;&#1075;&#1080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6\&#1091;&#1089;&#1083;&#1091;&#1075;&#1080;%202016\&#1091;&#1089;&#1083;&#1091;&#1075;&#1080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eganina\&#1056;&#1072;&#1073;&#1086;&#1095;&#1080;&#1081;%20&#1089;&#1090;&#1086;&#1083;\&#1058;&#1057;&#1054;%20&#1076;&#1083;&#1103;%20&#1079;&#1072;&#1087;&#1086;&#1083;&#1085;&#1077;&#1085;&#1080;&#1103;\&#1050;&#1077;&#1084;&#1077;&#1088;&#1086;&#1074;&#1089;&#1082;&#1072;&#1103;%20&#1086;&#1073;&#1083;&#1072;&#1089;&#1090;&#1100;1+%20&#1088;&#1086;&#1079;&#1085;&#1080;&#1094;&#1072;%202017(&#1044;&#1045;&#1050;&#1040;&#1041;&#1056;&#106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Республика Алтай"/>
      <sheetName val="Брянская область"/>
      <sheetName val="Волгоградская область"/>
      <sheetName val="Воронежская область"/>
      <sheetName val="Калужская область"/>
      <sheetName val="Омская область"/>
      <sheetName val="Кемеровская область"/>
      <sheetName val="Томская область"/>
      <sheetName val="Новосибирская область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Владимирская область"/>
      <sheetName val="Вологод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Татарстан"/>
      <sheetName val="Республика Хакасия"/>
      <sheetName val="Республика Саха (Якутия)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>
        <row r="40">
          <cell r="L40">
            <v>489025</v>
          </cell>
        </row>
      </sheetData>
      <sheetData sheetId="2">
        <row r="6">
          <cell r="L6">
            <v>3926</v>
          </cell>
        </row>
      </sheetData>
      <sheetData sheetId="3"/>
      <sheetData sheetId="4"/>
      <sheetData sheetId="5"/>
      <sheetData sheetId="6"/>
      <sheetData sheetId="7">
        <row r="21">
          <cell r="L21">
            <v>65635607</v>
          </cell>
        </row>
      </sheetData>
      <sheetData sheetId="8">
        <row r="89">
          <cell r="L89">
            <v>83016925</v>
          </cell>
        </row>
        <row r="90">
          <cell r="L90">
            <v>16509637.999999998</v>
          </cell>
        </row>
        <row r="91">
          <cell r="L91">
            <v>346195</v>
          </cell>
        </row>
        <row r="93">
          <cell r="L93">
            <v>14100</v>
          </cell>
        </row>
        <row r="94">
          <cell r="L94">
            <v>5206</v>
          </cell>
        </row>
        <row r="97">
          <cell r="L97">
            <v>1020512</v>
          </cell>
        </row>
        <row r="98">
          <cell r="L98">
            <v>132366</v>
          </cell>
        </row>
        <row r="99">
          <cell r="L99">
            <v>1996813</v>
          </cell>
        </row>
        <row r="100">
          <cell r="L100">
            <v>480418</v>
          </cell>
        </row>
        <row r="101">
          <cell r="L101">
            <v>21682</v>
          </cell>
        </row>
        <row r="102">
          <cell r="L102">
            <v>37952</v>
          </cell>
        </row>
        <row r="103">
          <cell r="L103">
            <v>373106</v>
          </cell>
        </row>
        <row r="104">
          <cell r="L104">
            <v>20416</v>
          </cell>
        </row>
        <row r="105">
          <cell r="L105">
            <v>595243</v>
          </cell>
        </row>
        <row r="106">
          <cell r="L106">
            <v>8592</v>
          </cell>
        </row>
        <row r="107">
          <cell r="L107">
            <v>54488</v>
          </cell>
        </row>
        <row r="108">
          <cell r="L108">
            <v>712848</v>
          </cell>
        </row>
        <row r="109">
          <cell r="L109">
            <v>7375</v>
          </cell>
        </row>
        <row r="110">
          <cell r="L110">
            <v>113588</v>
          </cell>
        </row>
        <row r="111">
          <cell r="L111">
            <v>167568</v>
          </cell>
        </row>
        <row r="112">
          <cell r="L112">
            <v>279293</v>
          </cell>
        </row>
        <row r="113">
          <cell r="L113">
            <v>73909</v>
          </cell>
        </row>
        <row r="114">
          <cell r="L114">
            <v>7388</v>
          </cell>
        </row>
        <row r="115">
          <cell r="L115">
            <v>13400</v>
          </cell>
        </row>
        <row r="116">
          <cell r="L116">
            <v>27809</v>
          </cell>
        </row>
        <row r="159">
          <cell r="U159">
            <v>5590</v>
          </cell>
        </row>
        <row r="160">
          <cell r="U160">
            <v>28061</v>
          </cell>
        </row>
        <row r="161">
          <cell r="U161">
            <v>1146569</v>
          </cell>
        </row>
        <row r="162">
          <cell r="U162">
            <v>40027</v>
          </cell>
        </row>
        <row r="163">
          <cell r="U163">
            <v>676029</v>
          </cell>
        </row>
        <row r="164">
          <cell r="U164">
            <v>11496</v>
          </cell>
        </row>
        <row r="165">
          <cell r="U165">
            <v>29945</v>
          </cell>
        </row>
        <row r="166">
          <cell r="U166">
            <v>703154</v>
          </cell>
        </row>
        <row r="170">
          <cell r="U170">
            <v>321302</v>
          </cell>
        </row>
        <row r="171">
          <cell r="U171">
            <v>63970</v>
          </cell>
        </row>
        <row r="172">
          <cell r="U172">
            <v>8977</v>
          </cell>
        </row>
        <row r="173">
          <cell r="U173">
            <v>17800</v>
          </cell>
        </row>
        <row r="174">
          <cell r="U174">
            <v>33648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>
        <row r="21">
          <cell r="L21">
            <v>1914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28">
          <cell r="L228">
            <v>292539</v>
          </cell>
        </row>
        <row r="229">
          <cell r="L229">
            <v>70545</v>
          </cell>
        </row>
        <row r="230">
          <cell r="L230">
            <v>7682</v>
          </cell>
        </row>
        <row r="231">
          <cell r="L231">
            <v>16400</v>
          </cell>
        </row>
        <row r="232">
          <cell r="L232">
            <v>31934</v>
          </cell>
        </row>
        <row r="278">
          <cell r="L278">
            <v>436536</v>
          </cell>
        </row>
        <row r="279">
          <cell r="L279">
            <v>916726</v>
          </cell>
        </row>
        <row r="280">
          <cell r="L280">
            <v>61140</v>
          </cell>
        </row>
        <row r="281">
          <cell r="L281">
            <v>128393</v>
          </cell>
        </row>
        <row r="282">
          <cell r="L282">
            <v>723116</v>
          </cell>
        </row>
        <row r="283">
          <cell r="L283">
            <v>1518552</v>
          </cell>
        </row>
        <row r="284">
          <cell r="L284">
            <v>157633</v>
          </cell>
        </row>
        <row r="285">
          <cell r="L285">
            <v>331012</v>
          </cell>
        </row>
        <row r="286">
          <cell r="L286">
            <v>18747</v>
          </cell>
        </row>
        <row r="287">
          <cell r="L287">
            <v>44205</v>
          </cell>
        </row>
        <row r="288">
          <cell r="L288">
            <v>520288</v>
          </cell>
        </row>
        <row r="289">
          <cell r="L289">
            <v>19673</v>
          </cell>
        </row>
        <row r="290">
          <cell r="L290">
            <v>933741</v>
          </cell>
        </row>
        <row r="291">
          <cell r="L291">
            <v>13542</v>
          </cell>
        </row>
        <row r="292">
          <cell r="L292">
            <v>88516</v>
          </cell>
        </row>
        <row r="293">
          <cell r="L293">
            <v>757277</v>
          </cell>
        </row>
        <row r="294">
          <cell r="L294">
            <v>1369</v>
          </cell>
        </row>
        <row r="295">
          <cell r="L295">
            <v>2875</v>
          </cell>
        </row>
        <row r="296">
          <cell r="L296">
            <v>12144</v>
          </cell>
        </row>
        <row r="297">
          <cell r="L297">
            <v>25503</v>
          </cell>
        </row>
        <row r="298">
          <cell r="L298">
            <v>52971</v>
          </cell>
        </row>
        <row r="299">
          <cell r="L299">
            <v>111307</v>
          </cell>
        </row>
        <row r="300">
          <cell r="L300">
            <v>277684</v>
          </cell>
        </row>
        <row r="301">
          <cell r="L301">
            <v>66662</v>
          </cell>
        </row>
        <row r="302">
          <cell r="L302">
            <v>5748</v>
          </cell>
        </row>
        <row r="303">
          <cell r="L303">
            <v>14700</v>
          </cell>
        </row>
        <row r="304">
          <cell r="L304">
            <v>27649</v>
          </cell>
        </row>
        <row r="309">
          <cell r="L309">
            <v>15836192</v>
          </cell>
        </row>
        <row r="310">
          <cell r="L310">
            <v>18900</v>
          </cell>
        </row>
        <row r="311">
          <cell r="L311">
            <v>6209</v>
          </cell>
        </row>
        <row r="318">
          <cell r="L318">
            <v>26314</v>
          </cell>
        </row>
        <row r="319">
          <cell r="L319">
            <v>62259</v>
          </cell>
        </row>
        <row r="320">
          <cell r="L320">
            <v>307974</v>
          </cell>
        </row>
        <row r="321">
          <cell r="L321">
            <v>34173</v>
          </cell>
        </row>
        <row r="322">
          <cell r="L322">
            <v>1013279</v>
          </cell>
        </row>
        <row r="323">
          <cell r="L323">
            <v>19414</v>
          </cell>
        </row>
        <row r="324">
          <cell r="L324">
            <v>116590</v>
          </cell>
        </row>
        <row r="325">
          <cell r="L325">
            <v>785819</v>
          </cell>
        </row>
        <row r="329">
          <cell r="L329">
            <v>268736</v>
          </cell>
        </row>
        <row r="330">
          <cell r="L330">
            <v>71090</v>
          </cell>
        </row>
        <row r="331">
          <cell r="L331">
            <v>6257</v>
          </cell>
        </row>
        <row r="332">
          <cell r="L332">
            <v>14250</v>
          </cell>
        </row>
        <row r="333">
          <cell r="L333">
            <v>30202</v>
          </cell>
        </row>
        <row r="335">
          <cell r="L335">
            <v>84335378</v>
          </cell>
        </row>
        <row r="336">
          <cell r="L336">
            <v>23687528</v>
          </cell>
        </row>
        <row r="337">
          <cell r="L337">
            <v>444583</v>
          </cell>
        </row>
        <row r="338">
          <cell r="L338">
            <v>16938012</v>
          </cell>
        </row>
        <row r="339">
          <cell r="L339">
            <v>14605</v>
          </cell>
        </row>
        <row r="340">
          <cell r="L340">
            <v>6250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"/>
      <sheetName val="2014"/>
      <sheetName val="2015 "/>
      <sheetName val="2016"/>
      <sheetName val="2017"/>
      <sheetName val="2017 КЭСК"/>
      <sheetName val="2017 МЭФ"/>
      <sheetName val="2017 РУС.СИБ.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8">
          <cell r="M118">
            <v>2167286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18" sqref="B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59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60" t="s">
        <v>28</v>
      </c>
      <c r="B4" s="63" t="s">
        <v>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22.5" customHeight="1" x14ac:dyDescent="0.25">
      <c r="A5" s="61"/>
      <c r="B5" s="5" t="s">
        <v>14</v>
      </c>
      <c r="C5" s="3">
        <v>90553878</v>
      </c>
      <c r="D5" s="3">
        <v>82817728</v>
      </c>
      <c r="E5" s="3">
        <v>87430701</v>
      </c>
      <c r="F5" s="3">
        <v>80572917</v>
      </c>
      <c r="G5" s="3">
        <v>79729666</v>
      </c>
      <c r="H5" s="3">
        <v>69707199</v>
      </c>
      <c r="I5" s="3">
        <v>71571838</v>
      </c>
      <c r="J5" s="3">
        <v>74591825</v>
      </c>
      <c r="K5" s="3">
        <v>76383610</v>
      </c>
      <c r="L5" s="3">
        <v>86518479</v>
      </c>
      <c r="M5" s="3">
        <v>90619576</v>
      </c>
      <c r="N5" s="3">
        <v>97742442</v>
      </c>
    </row>
    <row r="6" spans="1:14" ht="22.5" customHeight="1" x14ac:dyDescent="0.25">
      <c r="A6" s="61"/>
      <c r="B6" s="5" t="s">
        <v>15</v>
      </c>
      <c r="C6" s="3">
        <v>27850584</v>
      </c>
      <c r="D6" s="3">
        <v>25343227</v>
      </c>
      <c r="E6" s="3">
        <v>24356085</v>
      </c>
      <c r="F6" s="3">
        <v>20214206</v>
      </c>
      <c r="G6" s="3">
        <v>20126683</v>
      </c>
      <c r="H6" s="3">
        <v>17105333</v>
      </c>
      <c r="I6" s="3">
        <v>16482270</v>
      </c>
      <c r="J6" s="3">
        <v>16951861</v>
      </c>
      <c r="K6" s="3">
        <v>16022305</v>
      </c>
      <c r="L6" s="3">
        <v>18603978</v>
      </c>
      <c r="M6" s="3">
        <v>19996275</v>
      </c>
      <c r="N6" s="3">
        <v>21879770</v>
      </c>
    </row>
    <row r="7" spans="1:14" ht="22.5" customHeight="1" x14ac:dyDescent="0.25">
      <c r="A7" s="61"/>
      <c r="B7" s="5" t="s">
        <v>16</v>
      </c>
      <c r="C7" s="3">
        <v>4572101</v>
      </c>
      <c r="D7" s="3">
        <v>4192350.0000000005</v>
      </c>
      <c r="E7" s="3">
        <v>3938805</v>
      </c>
      <c r="F7" s="3">
        <v>3296378</v>
      </c>
      <c r="G7" s="3">
        <v>2970292</v>
      </c>
      <c r="H7" s="3">
        <v>2347870</v>
      </c>
      <c r="I7" s="3">
        <v>2315989</v>
      </c>
      <c r="J7" s="3">
        <v>2398007</v>
      </c>
      <c r="K7" s="3">
        <v>2641140</v>
      </c>
      <c r="L7" s="3">
        <v>3337570</v>
      </c>
      <c r="M7" s="3">
        <v>3610701</v>
      </c>
      <c r="N7" s="3">
        <v>4272592</v>
      </c>
    </row>
    <row r="8" spans="1:14" ht="22.5" customHeight="1" x14ac:dyDescent="0.25">
      <c r="A8" s="61"/>
      <c r="B8" s="5" t="s">
        <v>17</v>
      </c>
      <c r="C8" s="3">
        <v>1449682</v>
      </c>
      <c r="D8" s="3">
        <v>1255237</v>
      </c>
      <c r="E8" s="3">
        <v>1198708</v>
      </c>
      <c r="F8" s="3">
        <v>1020933</v>
      </c>
      <c r="G8" s="3">
        <v>875150</v>
      </c>
      <c r="H8" s="3">
        <v>715897</v>
      </c>
      <c r="I8" s="3">
        <v>707696</v>
      </c>
      <c r="J8" s="3">
        <v>700614</v>
      </c>
      <c r="K8" s="3">
        <v>753068</v>
      </c>
      <c r="L8" s="3">
        <v>964338</v>
      </c>
      <c r="M8" s="3">
        <v>1065393</v>
      </c>
      <c r="N8" s="3">
        <v>1152067</v>
      </c>
    </row>
    <row r="9" spans="1:14" ht="22.5" customHeight="1" x14ac:dyDescent="0.25">
      <c r="A9" s="61"/>
      <c r="B9" s="63" t="s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22.5" customHeight="1" x14ac:dyDescent="0.25">
      <c r="A10" s="61"/>
      <c r="B10" s="4"/>
      <c r="C10" s="3">
        <v>2750118</v>
      </c>
      <c r="D10" s="3">
        <v>2412247.9999999995</v>
      </c>
      <c r="E10" s="3">
        <v>2483834</v>
      </c>
      <c r="F10" s="3">
        <v>2267268.0000000005</v>
      </c>
      <c r="G10" s="3">
        <v>3183212</v>
      </c>
      <c r="H10" s="3">
        <v>2796163</v>
      </c>
      <c r="I10" s="3">
        <v>2623535</v>
      </c>
      <c r="J10" s="3">
        <v>3068096</v>
      </c>
      <c r="K10" s="3">
        <v>3529231</v>
      </c>
      <c r="L10" s="3">
        <v>2246350.9999999995</v>
      </c>
      <c r="M10" s="3">
        <v>1990749.9999999998</v>
      </c>
      <c r="N10" s="3">
        <v>2787176.9999999995</v>
      </c>
    </row>
    <row r="11" spans="1:14" ht="30.75" customHeight="1" x14ac:dyDescent="0.25">
      <c r="A11" s="62"/>
      <c r="B11" s="6" t="s">
        <v>18</v>
      </c>
      <c r="C11" s="3">
        <f t="shared" ref="C11:N11" si="0">SUM(C5:C8,C10)</f>
        <v>127176363</v>
      </c>
      <c r="D11" s="3">
        <f t="shared" si="0"/>
        <v>116020790</v>
      </c>
      <c r="E11" s="3">
        <f t="shared" si="0"/>
        <v>119408133</v>
      </c>
      <c r="F11" s="3">
        <f t="shared" si="0"/>
        <v>107371702</v>
      </c>
      <c r="G11" s="3">
        <f t="shared" si="0"/>
        <v>106885003</v>
      </c>
      <c r="H11" s="3">
        <f t="shared" si="0"/>
        <v>92672462</v>
      </c>
      <c r="I11" s="3">
        <f t="shared" si="0"/>
        <v>93701328</v>
      </c>
      <c r="J11" s="3">
        <f t="shared" si="0"/>
        <v>97710403</v>
      </c>
      <c r="K11" s="3">
        <f t="shared" si="0"/>
        <v>99329354</v>
      </c>
      <c r="L11" s="3">
        <f t="shared" si="0"/>
        <v>111670716</v>
      </c>
      <c r="M11" s="3">
        <f t="shared" si="0"/>
        <v>117282695</v>
      </c>
      <c r="N11" s="3">
        <f t="shared" si="0"/>
        <v>127834048</v>
      </c>
    </row>
    <row r="12" spans="1:14" ht="22.5" customHeight="1" x14ac:dyDescent="0.25">
      <c r="A12" s="66" t="s">
        <v>18</v>
      </c>
      <c r="B12" s="67"/>
      <c r="C12" s="10">
        <f>C11</f>
        <v>127176363</v>
      </c>
      <c r="D12" s="10">
        <f t="shared" ref="D12:N12" si="1">D11</f>
        <v>116020790</v>
      </c>
      <c r="E12" s="10">
        <f t="shared" si="1"/>
        <v>119408133</v>
      </c>
      <c r="F12" s="10">
        <f t="shared" si="1"/>
        <v>107371702</v>
      </c>
      <c r="G12" s="10">
        <f t="shared" si="1"/>
        <v>106885003</v>
      </c>
      <c r="H12" s="10">
        <f t="shared" si="1"/>
        <v>92672462</v>
      </c>
      <c r="I12" s="10">
        <f t="shared" si="1"/>
        <v>93701328</v>
      </c>
      <c r="J12" s="10">
        <f t="shared" si="1"/>
        <v>97710403</v>
      </c>
      <c r="K12" s="10">
        <f t="shared" si="1"/>
        <v>99329354</v>
      </c>
      <c r="L12" s="10">
        <f t="shared" si="1"/>
        <v>111670716</v>
      </c>
      <c r="M12" s="10">
        <f t="shared" si="1"/>
        <v>117282695</v>
      </c>
      <c r="N12" s="10">
        <f t="shared" si="1"/>
        <v>127834048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T6" sqref="AT6"/>
    </sheetView>
  </sheetViews>
  <sheetFormatPr defaultRowHeight="15" x14ac:dyDescent="0.25"/>
  <cols>
    <col min="1" max="1" width="21" style="42" customWidth="1"/>
    <col min="2" max="2" width="10.28515625" style="42" customWidth="1"/>
    <col min="3" max="3" width="10.28515625" style="42" hidden="1" customWidth="1"/>
    <col min="4" max="4" width="14.85546875" style="42" customWidth="1"/>
    <col min="5" max="6" width="17.42578125" style="42" hidden="1" customWidth="1"/>
    <col min="7" max="7" width="14.7109375" style="52" customWidth="1"/>
    <col min="8" max="9" width="14.7109375" style="52" hidden="1" customWidth="1"/>
    <col min="10" max="10" width="14.7109375" style="42" customWidth="1"/>
    <col min="11" max="12" width="14.7109375" style="42" hidden="1" customWidth="1"/>
    <col min="13" max="13" width="16" style="42" customWidth="1"/>
    <col min="14" max="16" width="16" style="42" hidden="1" customWidth="1"/>
    <col min="17" max="17" width="14.5703125" style="42" customWidth="1"/>
    <col min="18" max="20" width="14.5703125" style="42" hidden="1" customWidth="1"/>
    <col min="21" max="21" width="16.140625" style="42" customWidth="1"/>
    <col min="22" max="24" width="16.140625" style="42" hidden="1" customWidth="1"/>
    <col min="25" max="25" width="16.7109375" style="42" customWidth="1"/>
    <col min="26" max="28" width="16.7109375" style="42" hidden="1" customWidth="1"/>
    <col min="29" max="29" width="19.28515625" customWidth="1"/>
    <col min="30" max="32" width="19.28515625" hidden="1" customWidth="1"/>
    <col min="33" max="33" width="16.5703125" customWidth="1"/>
    <col min="34" max="36" width="16.5703125" hidden="1" customWidth="1"/>
    <col min="37" max="37" width="18.28515625" customWidth="1"/>
    <col min="38" max="40" width="18.28515625" hidden="1" customWidth="1"/>
    <col min="41" max="41" width="15.5703125" customWidth="1"/>
    <col min="42" max="44" width="15.5703125" hidden="1" customWidth="1"/>
    <col min="45" max="45" width="17.5703125" customWidth="1"/>
    <col min="46" max="46" width="9.140625" style="27"/>
    <col min="47" max="47" width="11.42578125" bestFit="1" customWidth="1"/>
    <col min="48" max="48" width="11.28515625" customWidth="1"/>
  </cols>
  <sheetData>
    <row r="1" spans="1:48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</row>
    <row r="2" spans="1:48" x14ac:dyDescent="0.25">
      <c r="A2" s="75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</row>
    <row r="3" spans="1:48" ht="42.75" x14ac:dyDescent="0.25">
      <c r="A3" s="32" t="s">
        <v>0</v>
      </c>
      <c r="B3" s="33" t="s">
        <v>1</v>
      </c>
      <c r="C3" s="33"/>
      <c r="D3" s="34" t="s">
        <v>2</v>
      </c>
      <c r="E3" s="34"/>
      <c r="F3" s="34"/>
      <c r="G3" s="34" t="s">
        <v>3</v>
      </c>
      <c r="H3" s="34"/>
      <c r="I3" s="34"/>
      <c r="J3" s="34" t="s">
        <v>4</v>
      </c>
      <c r="K3" s="34"/>
      <c r="L3" s="34"/>
      <c r="M3" s="34" t="s">
        <v>5</v>
      </c>
      <c r="N3" s="34"/>
      <c r="O3" s="34"/>
      <c r="P3" s="34"/>
      <c r="Q3" s="34" t="s">
        <v>6</v>
      </c>
      <c r="R3" s="34"/>
      <c r="S3" s="34"/>
      <c r="T3" s="34"/>
      <c r="U3" s="34" t="s">
        <v>7</v>
      </c>
      <c r="V3" s="34"/>
      <c r="W3" s="34"/>
      <c r="X3" s="34"/>
      <c r="Y3" s="34" t="s">
        <v>8</v>
      </c>
      <c r="Z3" s="34"/>
      <c r="AA3" s="34"/>
      <c r="AB3" s="34"/>
      <c r="AC3" s="12" t="s">
        <v>9</v>
      </c>
      <c r="AD3" s="12"/>
      <c r="AE3" s="12"/>
      <c r="AF3" s="12"/>
      <c r="AG3" s="12" t="s">
        <v>10</v>
      </c>
      <c r="AH3" s="12"/>
      <c r="AI3" s="12"/>
      <c r="AJ3" s="12"/>
      <c r="AK3" s="12" t="s">
        <v>11</v>
      </c>
      <c r="AL3" s="12"/>
      <c r="AM3" s="12"/>
      <c r="AN3" s="12"/>
      <c r="AO3" s="12" t="s">
        <v>12</v>
      </c>
      <c r="AP3" s="12"/>
      <c r="AQ3" s="12"/>
      <c r="AR3" s="12"/>
      <c r="AS3" s="12" t="s">
        <v>13</v>
      </c>
    </row>
    <row r="4" spans="1:48" x14ac:dyDescent="0.25">
      <c r="A4" s="78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4"/>
    </row>
    <row r="5" spans="1:48" x14ac:dyDescent="0.25">
      <c r="A5" s="79"/>
      <c r="B5" s="35" t="s">
        <v>14</v>
      </c>
      <c r="C5" s="35">
        <v>1.0452021573317791</v>
      </c>
      <c r="D5" s="36">
        <v>105881493</v>
      </c>
      <c r="E5" s="36"/>
      <c r="F5" s="36">
        <v>0.8816902535176957</v>
      </c>
      <c r="G5" s="36">
        <v>93732220</v>
      </c>
      <c r="H5" s="36"/>
      <c r="I5" s="36">
        <v>1.057500545122382</v>
      </c>
      <c r="J5" s="36">
        <v>102280122</v>
      </c>
      <c r="K5" s="36"/>
      <c r="L5" s="36">
        <v>0.93633674593947969</v>
      </c>
      <c r="M5" s="36">
        <v>90437678</v>
      </c>
      <c r="N5" s="36"/>
      <c r="O5" s="36"/>
      <c r="P5" s="36">
        <v>1.0051322974536612</v>
      </c>
      <c r="Q5" s="36">
        <v>89859940</v>
      </c>
      <c r="R5" s="36"/>
      <c r="S5" s="36"/>
      <c r="T5" s="36">
        <v>0.90591150635384765</v>
      </c>
      <c r="U5" s="36">
        <v>82881940</v>
      </c>
      <c r="V5" s="36"/>
      <c r="W5" s="36"/>
      <c r="X5" s="36">
        <v>0.97743570657774992</v>
      </c>
      <c r="Y5" s="36">
        <v>84719879</v>
      </c>
      <c r="Z5" s="36"/>
      <c r="AA5" s="36"/>
      <c r="AB5" s="36">
        <v>1.0186139415007147</v>
      </c>
      <c r="AC5" s="13">
        <v>87914334</v>
      </c>
      <c r="AD5" s="13"/>
      <c r="AE5" s="13"/>
      <c r="AF5" s="13">
        <v>0.99796501642885516</v>
      </c>
      <c r="AG5" s="13">
        <v>94031161</v>
      </c>
      <c r="AH5" s="13"/>
      <c r="AI5" s="13"/>
      <c r="AJ5" s="13">
        <v>1.126815866396945</v>
      </c>
      <c r="AK5" s="13">
        <v>95137234</v>
      </c>
      <c r="AL5" s="13"/>
      <c r="AM5" s="13"/>
      <c r="AN5" s="13">
        <v>1.0289220780099169</v>
      </c>
      <c r="AO5" s="13">
        <v>96381618</v>
      </c>
      <c r="AP5" s="13"/>
      <c r="AQ5" s="13"/>
      <c r="AR5" s="13">
        <v>1.0184047370866181</v>
      </c>
      <c r="AS5" s="13">
        <v>105592416</v>
      </c>
      <c r="AV5" s="23"/>
    </row>
    <row r="6" spans="1:48" x14ac:dyDescent="0.25">
      <c r="A6" s="79"/>
      <c r="B6" s="35" t="s">
        <v>15</v>
      </c>
      <c r="C6" s="35">
        <v>1.0182482616727797</v>
      </c>
      <c r="D6" s="36">
        <v>24541111</v>
      </c>
      <c r="E6" s="36"/>
      <c r="F6" s="36">
        <v>0.84673348994755826</v>
      </c>
      <c r="G6" s="36">
        <v>20936019</v>
      </c>
      <c r="H6" s="36"/>
      <c r="I6" s="36">
        <v>1.0199131613003114</v>
      </c>
      <c r="J6" s="36">
        <v>22676840</v>
      </c>
      <c r="K6" s="36"/>
      <c r="L6" s="36">
        <v>0.86327400718766145</v>
      </c>
      <c r="M6" s="36">
        <v>19043106</v>
      </c>
      <c r="N6" s="36"/>
      <c r="O6" s="36"/>
      <c r="P6" s="36">
        <v>0.96737206892179917</v>
      </c>
      <c r="Q6" s="36">
        <v>17197716</v>
      </c>
      <c r="R6" s="36"/>
      <c r="S6" s="36"/>
      <c r="T6" s="36">
        <v>0.91165825214060403</v>
      </c>
      <c r="U6" s="36">
        <v>16508219</v>
      </c>
      <c r="V6" s="36"/>
      <c r="W6" s="36"/>
      <c r="X6" s="36">
        <v>1.0563860943600971</v>
      </c>
      <c r="Y6" s="36">
        <v>16166539</v>
      </c>
      <c r="Z6" s="36"/>
      <c r="AA6" s="36"/>
      <c r="AB6" s="36">
        <v>1.0931011298578148</v>
      </c>
      <c r="AC6" s="13">
        <v>16423530</v>
      </c>
      <c r="AD6" s="13"/>
      <c r="AE6" s="13"/>
      <c r="AF6" s="13">
        <v>1.0353825963629379</v>
      </c>
      <c r="AG6" s="13">
        <v>15558386</v>
      </c>
      <c r="AH6" s="13"/>
      <c r="AI6" s="13"/>
      <c r="AJ6" s="13">
        <v>1.1010379263089092</v>
      </c>
      <c r="AK6" s="13">
        <v>19343712</v>
      </c>
      <c r="AL6" s="13"/>
      <c r="AM6" s="13"/>
      <c r="AN6" s="13">
        <v>1.0379068034819603</v>
      </c>
      <c r="AO6" s="13">
        <v>22415671</v>
      </c>
      <c r="AP6" s="13"/>
      <c r="AQ6" s="13"/>
      <c r="AR6" s="13">
        <v>1.1116798059682658</v>
      </c>
      <c r="AS6" s="13">
        <v>25104990</v>
      </c>
      <c r="AV6" s="23"/>
    </row>
    <row r="7" spans="1:48" x14ac:dyDescent="0.25">
      <c r="A7" s="79"/>
      <c r="B7" s="35" t="s">
        <v>16</v>
      </c>
      <c r="C7" s="35">
        <v>1.0319144366650916</v>
      </c>
      <c r="D7" s="36">
        <v>67738</v>
      </c>
      <c r="E7" s="36"/>
      <c r="F7" s="36">
        <v>0.93810571612295746</v>
      </c>
      <c r="G7" s="36">
        <v>59045</v>
      </c>
      <c r="H7" s="36"/>
      <c r="I7" s="36">
        <v>0.8363002228514117</v>
      </c>
      <c r="J7" s="36">
        <v>54786</v>
      </c>
      <c r="K7" s="36"/>
      <c r="L7" s="36">
        <v>0.30956604148123484</v>
      </c>
      <c r="M7" s="36">
        <v>45977</v>
      </c>
      <c r="N7" s="36"/>
      <c r="O7" s="36"/>
      <c r="P7" s="36">
        <v>0.84449540199995277</v>
      </c>
      <c r="Q7" s="36">
        <v>32430</v>
      </c>
      <c r="R7" s="36"/>
      <c r="S7" s="36"/>
      <c r="T7" s="36">
        <v>1.8804061808918624</v>
      </c>
      <c r="U7" s="36">
        <v>47793</v>
      </c>
      <c r="V7" s="36"/>
      <c r="W7" s="36"/>
      <c r="X7" s="36">
        <v>0.86860008559891322</v>
      </c>
      <c r="Y7" s="36">
        <v>58366</v>
      </c>
      <c r="Z7" s="36"/>
      <c r="AA7" s="36"/>
      <c r="AB7" s="36">
        <v>0.10707468448531098</v>
      </c>
      <c r="AC7" s="13">
        <v>58074</v>
      </c>
      <c r="AD7" s="13"/>
      <c r="AE7" s="13"/>
      <c r="AF7" s="13">
        <v>0.56422569027611047</v>
      </c>
      <c r="AG7" s="13">
        <v>26273</v>
      </c>
      <c r="AH7" s="13"/>
      <c r="AI7" s="13"/>
      <c r="AJ7" s="13">
        <v>1.2351418439716313</v>
      </c>
      <c r="AK7" s="13">
        <v>32671</v>
      </c>
      <c r="AL7" s="13"/>
      <c r="AM7" s="13"/>
      <c r="AN7" s="13">
        <v>1.7741379805345812</v>
      </c>
      <c r="AO7" s="13">
        <v>17381</v>
      </c>
      <c r="AP7" s="13"/>
      <c r="AQ7" s="13"/>
      <c r="AR7" s="13">
        <v>1.0950724168622057</v>
      </c>
      <c r="AS7" s="13">
        <v>31080</v>
      </c>
      <c r="AV7" s="23"/>
    </row>
    <row r="8" spans="1:48" x14ac:dyDescent="0.25">
      <c r="A8" s="79"/>
      <c r="B8" s="35" t="s">
        <v>17</v>
      </c>
      <c r="C8" s="35">
        <v>1.7244039270687237</v>
      </c>
      <c r="D8" s="36">
        <v>675</v>
      </c>
      <c r="E8" s="36"/>
      <c r="F8" s="36">
        <v>0.64416429442862955</v>
      </c>
      <c r="G8" s="36">
        <v>595</v>
      </c>
      <c r="H8" s="36"/>
      <c r="I8" s="36">
        <v>0.99053030303030298</v>
      </c>
      <c r="J8" s="36">
        <v>673</v>
      </c>
      <c r="K8" s="36"/>
      <c r="L8" s="36">
        <v>0.5978330146590185</v>
      </c>
      <c r="M8" s="36">
        <v>347</v>
      </c>
      <c r="N8" s="36"/>
      <c r="O8" s="36"/>
      <c r="P8" s="36">
        <v>0.47867803837953093</v>
      </c>
      <c r="Q8" s="36">
        <v>241</v>
      </c>
      <c r="R8" s="36"/>
      <c r="S8" s="36"/>
      <c r="T8" s="36">
        <v>0.43429844097995546</v>
      </c>
      <c r="U8" s="36">
        <v>188</v>
      </c>
      <c r="V8" s="36"/>
      <c r="W8" s="36"/>
      <c r="X8" s="36">
        <v>1.0717948717948718</v>
      </c>
      <c r="Y8" s="36">
        <v>201</v>
      </c>
      <c r="Z8" s="36"/>
      <c r="AA8" s="36"/>
      <c r="AB8" s="36">
        <v>0.11004784688995216</v>
      </c>
      <c r="AC8" s="13">
        <v>268</v>
      </c>
      <c r="AD8" s="13"/>
      <c r="AE8" s="13"/>
      <c r="AF8" s="13">
        <v>2.347826086956522</v>
      </c>
      <c r="AG8" s="13">
        <v>355</v>
      </c>
      <c r="AH8" s="13"/>
      <c r="AI8" s="13"/>
      <c r="AJ8" s="13">
        <v>1.4444444444444444</v>
      </c>
      <c r="AK8" s="13">
        <v>386</v>
      </c>
      <c r="AL8" s="13"/>
      <c r="AM8" s="13"/>
      <c r="AN8" s="13">
        <v>1.6153846153846154</v>
      </c>
      <c r="AO8" s="13">
        <v>540</v>
      </c>
      <c r="AP8" s="13"/>
      <c r="AQ8" s="13"/>
      <c r="AR8" s="13">
        <v>1.9365079365079365</v>
      </c>
      <c r="AS8" s="13">
        <v>570</v>
      </c>
      <c r="AV8" s="23"/>
    </row>
    <row r="9" spans="1:48" x14ac:dyDescent="0.25">
      <c r="A9" s="79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4"/>
      <c r="AV9" s="23"/>
    </row>
    <row r="10" spans="1:48" x14ac:dyDescent="0.25">
      <c r="A10" s="79"/>
      <c r="B10" s="35" t="s">
        <v>14</v>
      </c>
      <c r="C10" s="35">
        <v>0.94458785062811912</v>
      </c>
      <c r="D10" s="36">
        <v>5914</v>
      </c>
      <c r="E10" s="36"/>
      <c r="F10" s="36">
        <v>0.8163599927126981</v>
      </c>
      <c r="G10" s="36">
        <v>5254</v>
      </c>
      <c r="H10" s="36"/>
      <c r="I10" s="36">
        <v>0.97098861861191699</v>
      </c>
      <c r="J10" s="36">
        <v>5190</v>
      </c>
      <c r="K10" s="36"/>
      <c r="L10" s="36">
        <v>1.099057687887842</v>
      </c>
      <c r="M10" s="36">
        <v>4650</v>
      </c>
      <c r="N10" s="36"/>
      <c r="O10" s="36"/>
      <c r="P10" s="36">
        <v>0.71455457967377667</v>
      </c>
      <c r="Q10" s="36">
        <v>4284</v>
      </c>
      <c r="R10" s="36"/>
      <c r="S10" s="36"/>
      <c r="T10" s="36">
        <v>1.3669885864793678</v>
      </c>
      <c r="U10" s="36">
        <v>3610</v>
      </c>
      <c r="V10" s="36"/>
      <c r="W10" s="36"/>
      <c r="X10" s="36">
        <v>0.88631984585741808</v>
      </c>
      <c r="Y10" s="36">
        <v>4054</v>
      </c>
      <c r="Z10" s="36"/>
      <c r="AA10" s="36"/>
      <c r="AB10" s="36">
        <v>0.99782608695652175</v>
      </c>
      <c r="AC10" s="13">
        <v>5261</v>
      </c>
      <c r="AD10" s="13"/>
      <c r="AE10" s="13"/>
      <c r="AF10" s="13">
        <v>1.0866618252239166</v>
      </c>
      <c r="AG10" s="13">
        <v>6034</v>
      </c>
      <c r="AH10" s="13"/>
      <c r="AI10" s="13"/>
      <c r="AJ10" s="13">
        <v>1.0597014925373134</v>
      </c>
      <c r="AK10" s="13">
        <v>6460</v>
      </c>
      <c r="AL10" s="13"/>
      <c r="AM10" s="13"/>
      <c r="AN10" s="13">
        <v>0.89278957326045827</v>
      </c>
      <c r="AO10" s="13">
        <v>2941</v>
      </c>
      <c r="AP10" s="13"/>
      <c r="AQ10" s="13"/>
      <c r="AR10" s="13">
        <v>1.0941841299740993</v>
      </c>
      <c r="AS10" s="13">
        <v>2305</v>
      </c>
      <c r="AV10" s="23"/>
    </row>
    <row r="11" spans="1:48" x14ac:dyDescent="0.25">
      <c r="A11" s="54"/>
      <c r="B11" s="35" t="s">
        <v>15</v>
      </c>
      <c r="C11" s="35">
        <v>0.85964912280701755</v>
      </c>
      <c r="D11" s="36">
        <v>1320</v>
      </c>
      <c r="E11" s="36"/>
      <c r="F11" s="36">
        <v>0.81632653061224492</v>
      </c>
      <c r="G11" s="36">
        <v>1280</v>
      </c>
      <c r="H11" s="36"/>
      <c r="I11" s="36">
        <v>1.05</v>
      </c>
      <c r="J11" s="36">
        <v>1240</v>
      </c>
      <c r="K11" s="36"/>
      <c r="L11" s="36">
        <v>0.8571428571428571</v>
      </c>
      <c r="M11" s="36">
        <v>960</v>
      </c>
      <c r="N11" s="36"/>
      <c r="O11" s="36"/>
      <c r="P11" s="36">
        <v>1</v>
      </c>
      <c r="Q11" s="36">
        <v>1160</v>
      </c>
      <c r="R11" s="36"/>
      <c r="S11" s="36"/>
      <c r="T11" s="36">
        <v>0.91666666666666663</v>
      </c>
      <c r="U11" s="36">
        <v>1040</v>
      </c>
      <c r="V11" s="36"/>
      <c r="W11" s="36"/>
      <c r="X11" s="36">
        <v>1</v>
      </c>
      <c r="Y11" s="36">
        <v>1120</v>
      </c>
      <c r="Z11" s="36"/>
      <c r="AA11" s="36"/>
      <c r="AB11" s="36">
        <v>1.1515151515151516</v>
      </c>
      <c r="AC11" s="13">
        <v>1000</v>
      </c>
      <c r="AD11" s="13"/>
      <c r="AE11" s="13"/>
      <c r="AF11" s="13">
        <v>0.73684210526315785</v>
      </c>
      <c r="AG11" s="13">
        <v>1200</v>
      </c>
      <c r="AH11" s="13"/>
      <c r="AI11" s="13"/>
      <c r="AJ11" s="13">
        <v>1.1785714285714286</v>
      </c>
      <c r="AK11" s="13">
        <v>1280</v>
      </c>
      <c r="AL11" s="13"/>
      <c r="AM11" s="13"/>
      <c r="AN11" s="13">
        <v>1.0909090909090908</v>
      </c>
      <c r="AO11" s="13">
        <v>1440</v>
      </c>
      <c r="AP11" s="13"/>
      <c r="AQ11" s="13"/>
      <c r="AR11" s="13">
        <v>1.0833333333333333</v>
      </c>
      <c r="AS11" s="13">
        <v>1640</v>
      </c>
      <c r="AV11" s="23"/>
    </row>
    <row r="12" spans="1:48" x14ac:dyDescent="0.25">
      <c r="A12" s="54"/>
      <c r="B12" s="35" t="s">
        <v>46</v>
      </c>
      <c r="C12" s="35">
        <v>0</v>
      </c>
      <c r="D12" s="36">
        <f>C12*'2021'!AG12</f>
        <v>0</v>
      </c>
      <c r="E12" s="36"/>
      <c r="F12" s="36">
        <v>0</v>
      </c>
      <c r="G12" s="36">
        <f t="shared" ref="G12:G13" si="0">F12*D12</f>
        <v>0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V12" s="23"/>
    </row>
    <row r="13" spans="1:48" x14ac:dyDescent="0.25">
      <c r="A13" s="54"/>
      <c r="B13" s="35" t="s">
        <v>17</v>
      </c>
      <c r="C13" s="35">
        <v>0</v>
      </c>
      <c r="D13" s="36">
        <f>C13*'2021'!AG13</f>
        <v>0</v>
      </c>
      <c r="E13" s="36"/>
      <c r="F13" s="36">
        <v>0</v>
      </c>
      <c r="G13" s="36">
        <f t="shared" si="0"/>
        <v>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V13" s="23"/>
    </row>
    <row r="14" spans="1:48" x14ac:dyDescent="0.25">
      <c r="A14" s="76" t="s">
        <v>18</v>
      </c>
      <c r="B14" s="77"/>
      <c r="C14" s="53"/>
      <c r="D14" s="38">
        <f>SUM(D5:D8,D10:D13)</f>
        <v>130498251</v>
      </c>
      <c r="E14" s="38"/>
      <c r="F14" s="38"/>
      <c r="G14" s="38">
        <f t="shared" ref="G14:AS14" si="1">SUM(G5:G8,G10:G13)</f>
        <v>114734413</v>
      </c>
      <c r="H14" s="38"/>
      <c r="I14" s="38"/>
      <c r="J14" s="38">
        <f t="shared" si="1"/>
        <v>125018851</v>
      </c>
      <c r="K14" s="38"/>
      <c r="L14" s="38"/>
      <c r="M14" s="38">
        <f t="shared" si="1"/>
        <v>109532718</v>
      </c>
      <c r="N14" s="38">
        <f t="shared" si="1"/>
        <v>0</v>
      </c>
      <c r="O14" s="38"/>
      <c r="P14" s="38"/>
      <c r="Q14" s="38">
        <f t="shared" si="1"/>
        <v>107095771</v>
      </c>
      <c r="R14" s="38">
        <f t="shared" si="1"/>
        <v>0</v>
      </c>
      <c r="S14" s="38"/>
      <c r="T14" s="38"/>
      <c r="U14" s="38">
        <f t="shared" si="1"/>
        <v>99442790</v>
      </c>
      <c r="V14" s="38"/>
      <c r="W14" s="38"/>
      <c r="X14" s="38"/>
      <c r="Y14" s="38">
        <f t="shared" si="1"/>
        <v>100950159</v>
      </c>
      <c r="Z14" s="38"/>
      <c r="AA14" s="38"/>
      <c r="AB14" s="38"/>
      <c r="AC14" s="38">
        <f t="shared" si="1"/>
        <v>104402467</v>
      </c>
      <c r="AD14" s="38"/>
      <c r="AE14" s="38"/>
      <c r="AF14" s="38"/>
      <c r="AG14" s="38">
        <f t="shared" si="1"/>
        <v>109623409</v>
      </c>
      <c r="AH14" s="38"/>
      <c r="AI14" s="38"/>
      <c r="AJ14" s="38"/>
      <c r="AK14" s="38">
        <f t="shared" si="1"/>
        <v>114521743</v>
      </c>
      <c r="AL14" s="38"/>
      <c r="AM14" s="38"/>
      <c r="AN14" s="38"/>
      <c r="AO14" s="38">
        <f t="shared" si="1"/>
        <v>118819591</v>
      </c>
      <c r="AP14" s="38"/>
      <c r="AQ14" s="38"/>
      <c r="AR14" s="38"/>
      <c r="AS14" s="38">
        <f t="shared" si="1"/>
        <v>130733001</v>
      </c>
      <c r="AU14" s="23"/>
      <c r="AV14" s="23"/>
    </row>
    <row r="15" spans="1:48" x14ac:dyDescent="0.25">
      <c r="A15" s="78" t="s">
        <v>25</v>
      </c>
      <c r="B15" s="72" t="s">
        <v>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4"/>
      <c r="AV15" s="23"/>
    </row>
    <row r="16" spans="1:48" x14ac:dyDescent="0.25">
      <c r="A16" s="79"/>
      <c r="B16" s="35" t="s">
        <v>14</v>
      </c>
      <c r="C16" s="35">
        <v>1.0399096915843327</v>
      </c>
      <c r="D16" s="36">
        <v>972436</v>
      </c>
      <c r="E16" s="36"/>
      <c r="F16" s="36">
        <v>0.90282945396746994</v>
      </c>
      <c r="G16" s="36">
        <v>877668</v>
      </c>
      <c r="H16" s="36"/>
      <c r="I16" s="36">
        <v>1.0211241465541443</v>
      </c>
      <c r="J16" s="36">
        <v>922837</v>
      </c>
      <c r="K16" s="36"/>
      <c r="L16" s="36">
        <v>0.91553107906433595</v>
      </c>
      <c r="M16" s="36">
        <v>785934</v>
      </c>
      <c r="N16" s="36"/>
      <c r="O16" s="36"/>
      <c r="P16" s="36">
        <v>0.88559391530177478</v>
      </c>
      <c r="Q16" s="36">
        <v>657608</v>
      </c>
      <c r="R16" s="36"/>
      <c r="S16" s="36"/>
      <c r="T16" s="36">
        <v>0.8568244212360776</v>
      </c>
      <c r="U16" s="36">
        <v>485648</v>
      </c>
      <c r="V16" s="36"/>
      <c r="W16" s="36"/>
      <c r="X16" s="36">
        <v>0.89587052391289479</v>
      </c>
      <c r="Y16" s="36">
        <v>502704</v>
      </c>
      <c r="Z16" s="36"/>
      <c r="AA16" s="36"/>
      <c r="AB16" s="36">
        <v>0.96713358328126087</v>
      </c>
      <c r="AC16" s="13">
        <v>534366</v>
      </c>
      <c r="AD16" s="13"/>
      <c r="AE16" s="13"/>
      <c r="AF16" s="13">
        <v>1.1790877356712761</v>
      </c>
      <c r="AG16" s="13">
        <v>614772</v>
      </c>
      <c r="AH16" s="13"/>
      <c r="AI16" s="13"/>
      <c r="AJ16" s="13">
        <v>1.2398884271732347</v>
      </c>
      <c r="AK16" s="13">
        <v>832648</v>
      </c>
      <c r="AL16" s="13"/>
      <c r="AM16" s="13"/>
      <c r="AN16" s="13">
        <v>0.99595123559131538</v>
      </c>
      <c r="AO16" s="13">
        <v>759331</v>
      </c>
      <c r="AP16" s="13"/>
      <c r="AQ16" s="13"/>
      <c r="AR16" s="13">
        <v>1.0959271957661523</v>
      </c>
      <c r="AS16" s="13">
        <v>1016451</v>
      </c>
      <c r="AV16" s="23"/>
    </row>
    <row r="17" spans="1:48" x14ac:dyDescent="0.25">
      <c r="A17" s="79"/>
      <c r="B17" s="35" t="s">
        <v>15</v>
      </c>
      <c r="C17" s="35">
        <v>1.0740921312063094</v>
      </c>
      <c r="D17" s="36">
        <v>279192</v>
      </c>
      <c r="E17" s="36"/>
      <c r="F17" s="36">
        <v>0.81470405649860822</v>
      </c>
      <c r="G17" s="36">
        <v>258533.00000000003</v>
      </c>
      <c r="H17" s="36"/>
      <c r="I17" s="36">
        <v>0.84319131503482181</v>
      </c>
      <c r="J17" s="36">
        <v>216937</v>
      </c>
      <c r="K17" s="36"/>
      <c r="L17" s="36">
        <v>0.64386876102282053</v>
      </c>
      <c r="M17" s="36">
        <v>134600</v>
      </c>
      <c r="N17" s="36"/>
      <c r="O17" s="36"/>
      <c r="P17" s="36">
        <v>0.62610263878722938</v>
      </c>
      <c r="Q17" s="36">
        <v>86045</v>
      </c>
      <c r="R17" s="36"/>
      <c r="S17" s="36"/>
      <c r="T17" s="36">
        <v>0.80458703433647094</v>
      </c>
      <c r="U17" s="36">
        <v>52635</v>
      </c>
      <c r="V17" s="36"/>
      <c r="W17" s="36"/>
      <c r="X17" s="36">
        <v>0.90477688401563838</v>
      </c>
      <c r="Y17" s="36">
        <v>55273</v>
      </c>
      <c r="Z17" s="36"/>
      <c r="AA17" s="36"/>
      <c r="AB17" s="36">
        <v>1.0720340386079932</v>
      </c>
      <c r="AC17" s="13">
        <v>65426</v>
      </c>
      <c r="AD17" s="13"/>
      <c r="AE17" s="13"/>
      <c r="AF17" s="13">
        <v>1.3022408228190199</v>
      </c>
      <c r="AG17" s="13">
        <v>101529</v>
      </c>
      <c r="AH17" s="13"/>
      <c r="AI17" s="13"/>
      <c r="AJ17" s="13">
        <v>1.3882643138371045</v>
      </c>
      <c r="AK17" s="13">
        <v>144161</v>
      </c>
      <c r="AL17" s="13"/>
      <c r="AM17" s="13"/>
      <c r="AN17" s="13">
        <v>1.5641358573088224</v>
      </c>
      <c r="AO17" s="13">
        <v>192935</v>
      </c>
      <c r="AP17" s="13"/>
      <c r="AQ17" s="13"/>
      <c r="AR17" s="13">
        <v>1.3208832139112199</v>
      </c>
      <c r="AS17" s="13">
        <v>274900</v>
      </c>
      <c r="AV17" s="23"/>
    </row>
    <row r="18" spans="1:48" x14ac:dyDescent="0.25">
      <c r="A18" s="79"/>
      <c r="B18" s="35" t="s">
        <v>16</v>
      </c>
      <c r="C18" s="35">
        <v>0.9658740880165817</v>
      </c>
      <c r="D18" s="36">
        <v>2273586.9999999995</v>
      </c>
      <c r="E18" s="36"/>
      <c r="F18" s="36">
        <v>0.85273078915797607</v>
      </c>
      <c r="G18" s="36">
        <v>2146457</v>
      </c>
      <c r="H18" s="36"/>
      <c r="I18" s="36">
        <v>0.99431617908473591</v>
      </c>
      <c r="J18" s="36">
        <v>2109739</v>
      </c>
      <c r="K18" s="36"/>
      <c r="L18" s="36">
        <v>0.8419707936119315</v>
      </c>
      <c r="M18" s="36">
        <v>1653856</v>
      </c>
      <c r="N18" s="36"/>
      <c r="O18" s="36"/>
      <c r="P18" s="36">
        <v>0.87829290323127818</v>
      </c>
      <c r="Q18" s="36">
        <v>1355629</v>
      </c>
      <c r="R18" s="36"/>
      <c r="S18" s="36"/>
      <c r="T18" s="36">
        <v>0.92292348079674114</v>
      </c>
      <c r="U18" s="36">
        <v>1390095</v>
      </c>
      <c r="V18" s="36"/>
      <c r="W18" s="36"/>
      <c r="X18" s="36">
        <v>1.0254966145015918</v>
      </c>
      <c r="Y18" s="36">
        <v>1418717</v>
      </c>
      <c r="Z18" s="36"/>
      <c r="AA18" s="36"/>
      <c r="AB18" s="36">
        <v>1.0508294854304403</v>
      </c>
      <c r="AC18" s="13">
        <v>1471960</v>
      </c>
      <c r="AD18" s="13"/>
      <c r="AE18" s="13"/>
      <c r="AF18" s="13">
        <v>1.0792108871278148</v>
      </c>
      <c r="AG18" s="13">
        <v>1648663</v>
      </c>
      <c r="AH18" s="13"/>
      <c r="AI18" s="13"/>
      <c r="AJ18" s="13">
        <v>1.1922521060136657</v>
      </c>
      <c r="AK18" s="13">
        <v>1940163</v>
      </c>
      <c r="AL18" s="13"/>
      <c r="AM18" s="13"/>
      <c r="AN18" s="13">
        <v>1.1287650042310988</v>
      </c>
      <c r="AO18" s="13">
        <v>1854371</v>
      </c>
      <c r="AP18" s="13"/>
      <c r="AQ18" s="13"/>
      <c r="AR18" s="13">
        <v>1.0895440712937436</v>
      </c>
      <c r="AS18" s="13">
        <v>1936936</v>
      </c>
      <c r="AV18" s="23"/>
    </row>
    <row r="19" spans="1:48" x14ac:dyDescent="0.25">
      <c r="A19" s="79"/>
      <c r="B19" s="35" t="s">
        <v>17</v>
      </c>
      <c r="C19" s="35">
        <v>1.0559225925443583</v>
      </c>
      <c r="D19" s="36">
        <v>501788.00000000006</v>
      </c>
      <c r="E19" s="36"/>
      <c r="F19" s="36">
        <v>0.84383239720662007</v>
      </c>
      <c r="G19" s="36">
        <v>450773</v>
      </c>
      <c r="H19" s="36"/>
      <c r="I19" s="36">
        <v>0.98064551809137435</v>
      </c>
      <c r="J19" s="36">
        <v>439491.99999999994</v>
      </c>
      <c r="K19" s="36"/>
      <c r="L19" s="36">
        <v>0.83424909162685401</v>
      </c>
      <c r="M19" s="36">
        <v>355726</v>
      </c>
      <c r="N19" s="36"/>
      <c r="O19" s="36"/>
      <c r="P19" s="36">
        <v>0.8003684228315926</v>
      </c>
      <c r="Q19" s="36">
        <v>287526</v>
      </c>
      <c r="R19" s="36"/>
      <c r="S19" s="36"/>
      <c r="T19" s="36">
        <v>0.95915972622326262</v>
      </c>
      <c r="U19" s="36">
        <v>262227</v>
      </c>
      <c r="V19" s="36"/>
      <c r="W19" s="36"/>
      <c r="X19" s="36">
        <v>1.0013649000540927</v>
      </c>
      <c r="Y19" s="36">
        <v>269178</v>
      </c>
      <c r="Z19" s="36"/>
      <c r="AA19" s="36"/>
      <c r="AB19" s="36">
        <v>0.98245322010263625</v>
      </c>
      <c r="AC19" s="13">
        <v>272337</v>
      </c>
      <c r="AD19" s="13"/>
      <c r="AE19" s="13"/>
      <c r="AF19" s="13">
        <v>1.1201301711213194</v>
      </c>
      <c r="AG19" s="13">
        <v>311829</v>
      </c>
      <c r="AH19" s="13"/>
      <c r="AI19" s="13"/>
      <c r="AJ19" s="13">
        <v>1.174184784159727</v>
      </c>
      <c r="AK19" s="13">
        <v>338806</v>
      </c>
      <c r="AL19" s="13"/>
      <c r="AM19" s="13"/>
      <c r="AN19" s="13">
        <v>1.1695492815337649</v>
      </c>
      <c r="AO19" s="13">
        <v>413061</v>
      </c>
      <c r="AP19" s="13"/>
      <c r="AQ19" s="13"/>
      <c r="AR19" s="13">
        <v>0.97704441073172754</v>
      </c>
      <c r="AS19" s="13">
        <v>426670</v>
      </c>
      <c r="AV19" s="23"/>
    </row>
    <row r="20" spans="1:48" x14ac:dyDescent="0.25">
      <c r="A20" s="79"/>
      <c r="B20" s="72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4"/>
      <c r="AV20" s="23"/>
    </row>
    <row r="21" spans="1:48" x14ac:dyDescent="0.25">
      <c r="A21" s="80"/>
      <c r="B21" s="39" t="s">
        <v>16</v>
      </c>
      <c r="C21" s="39">
        <v>1.1435234747188945</v>
      </c>
      <c r="D21" s="36">
        <v>445984</v>
      </c>
      <c r="E21" s="36"/>
      <c r="F21" s="36">
        <v>0.83733993154082953</v>
      </c>
      <c r="G21" s="36">
        <v>401503</v>
      </c>
      <c r="H21" s="36"/>
      <c r="I21" s="36">
        <v>0.98237916040715334</v>
      </c>
      <c r="J21" s="36">
        <v>385502</v>
      </c>
      <c r="K21" s="36"/>
      <c r="L21" s="36">
        <v>1.0885539949227565</v>
      </c>
      <c r="M21" s="36">
        <v>83645</v>
      </c>
      <c r="N21" s="36"/>
      <c r="O21" s="36"/>
      <c r="P21" s="36">
        <v>2.5278021188307029</v>
      </c>
      <c r="Q21" s="36">
        <v>17479</v>
      </c>
      <c r="R21" s="36"/>
      <c r="S21" s="36"/>
      <c r="T21" s="36">
        <v>1.0797217213949144</v>
      </c>
      <c r="U21" s="36">
        <v>13758</v>
      </c>
      <c r="V21" s="36"/>
      <c r="W21" s="36"/>
      <c r="X21" s="36">
        <v>0.96933786781818099</v>
      </c>
      <c r="Y21" s="36">
        <v>16434</v>
      </c>
      <c r="Z21" s="36"/>
      <c r="AA21" s="36"/>
      <c r="AB21" s="36">
        <v>0.9960192701323467</v>
      </c>
      <c r="AC21" s="13">
        <v>15285</v>
      </c>
      <c r="AD21" s="13"/>
      <c r="AE21" s="13"/>
      <c r="AF21" s="13">
        <v>0.84095433731706981</v>
      </c>
      <c r="AG21" s="13">
        <v>20042</v>
      </c>
      <c r="AH21" s="13"/>
      <c r="AI21" s="13"/>
      <c r="AJ21" s="13">
        <v>0.52158607912611654</v>
      </c>
      <c r="AK21" s="13">
        <v>25326</v>
      </c>
      <c r="AL21" s="13"/>
      <c r="AM21" s="13"/>
      <c r="AN21" s="13">
        <v>0.76356868227191321</v>
      </c>
      <c r="AO21" s="13">
        <v>25895</v>
      </c>
      <c r="AP21" s="13"/>
      <c r="AQ21" s="13"/>
      <c r="AR21" s="13">
        <v>1.0688397993223189</v>
      </c>
      <c r="AS21" s="13">
        <v>51355</v>
      </c>
      <c r="AV21" s="23"/>
    </row>
    <row r="22" spans="1:48" x14ac:dyDescent="0.25">
      <c r="A22" s="54"/>
      <c r="B22" s="39" t="s">
        <v>17</v>
      </c>
      <c r="C22" s="39">
        <v>1.1078624315323</v>
      </c>
      <c r="D22" s="36">
        <v>1160186.9999999998</v>
      </c>
      <c r="E22" s="36"/>
      <c r="F22" s="36">
        <v>0.845060459312722</v>
      </c>
      <c r="G22" s="36">
        <v>1109783.0000000002</v>
      </c>
      <c r="H22" s="36"/>
      <c r="I22" s="36">
        <v>0.92339799997549976</v>
      </c>
      <c r="J22" s="36">
        <v>1046342.9999999999</v>
      </c>
      <c r="K22" s="36"/>
      <c r="L22" s="36">
        <v>0.90315887597540245</v>
      </c>
      <c r="M22" s="36">
        <v>546340</v>
      </c>
      <c r="N22" s="36"/>
      <c r="O22" s="36"/>
      <c r="P22" s="36">
        <v>0.96999578922629492</v>
      </c>
      <c r="Q22" s="36">
        <v>152229</v>
      </c>
      <c r="R22" s="36"/>
      <c r="S22" s="36"/>
      <c r="T22" s="36">
        <v>0.98528898086921424</v>
      </c>
      <c r="U22" s="36">
        <v>105005</v>
      </c>
      <c r="V22" s="36"/>
      <c r="W22" s="36"/>
      <c r="X22" s="36">
        <v>0.95099377240060723</v>
      </c>
      <c r="Y22" s="36">
        <v>69981</v>
      </c>
      <c r="Z22" s="36"/>
      <c r="AA22" s="36"/>
      <c r="AB22" s="36">
        <v>1.0151279589807241</v>
      </c>
      <c r="AC22" s="13">
        <v>68041</v>
      </c>
      <c r="AD22" s="13"/>
      <c r="AE22" s="13"/>
      <c r="AF22" s="13">
        <v>1.0463271739245801</v>
      </c>
      <c r="AG22" s="13">
        <v>63037</v>
      </c>
      <c r="AH22" s="13"/>
      <c r="AI22" s="13"/>
      <c r="AJ22" s="13">
        <v>1.0661112007133013</v>
      </c>
      <c r="AK22" s="13">
        <v>52900</v>
      </c>
      <c r="AL22" s="13"/>
      <c r="AM22" s="13"/>
      <c r="AN22" s="13">
        <v>1.006238737067251</v>
      </c>
      <c r="AO22" s="13">
        <v>59246</v>
      </c>
      <c r="AP22" s="13"/>
      <c r="AQ22" s="13"/>
      <c r="AR22" s="13">
        <v>1.0551007922872315</v>
      </c>
      <c r="AS22" s="13">
        <v>51841</v>
      </c>
      <c r="AV22" s="23"/>
    </row>
    <row r="23" spans="1:48" x14ac:dyDescent="0.25">
      <c r="A23" s="76" t="s">
        <v>18</v>
      </c>
      <c r="B23" s="77"/>
      <c r="C23" s="53"/>
      <c r="D23" s="38">
        <f>SUM(D16:D19,D21:D22)</f>
        <v>5633174</v>
      </c>
      <c r="E23" s="38"/>
      <c r="F23" s="38"/>
      <c r="G23" s="38">
        <f t="shared" ref="G23:U23" si="2">SUM(G16:G19,G21:G22)</f>
        <v>5244717</v>
      </c>
      <c r="H23" s="38"/>
      <c r="I23" s="38"/>
      <c r="J23" s="38">
        <f t="shared" si="2"/>
        <v>5120850</v>
      </c>
      <c r="K23" s="38"/>
      <c r="L23" s="38"/>
      <c r="M23" s="38">
        <f t="shared" si="2"/>
        <v>3560101</v>
      </c>
      <c r="N23" s="38"/>
      <c r="O23" s="38"/>
      <c r="P23" s="38"/>
      <c r="Q23" s="38">
        <f t="shared" si="2"/>
        <v>2556516</v>
      </c>
      <c r="R23" s="38"/>
      <c r="S23" s="38"/>
      <c r="T23" s="38"/>
      <c r="U23" s="38">
        <f t="shared" si="2"/>
        <v>2309368</v>
      </c>
      <c r="V23" s="38"/>
      <c r="W23" s="38"/>
      <c r="X23" s="38"/>
      <c r="Y23" s="38">
        <f>SUM(Y16:Y19,Y21:Y22)</f>
        <v>2332287</v>
      </c>
      <c r="Z23" s="38"/>
      <c r="AA23" s="38"/>
      <c r="AB23" s="38"/>
      <c r="AC23" s="14">
        <f>SUM(AC16:AC19,AC21:AC22)</f>
        <v>2427415</v>
      </c>
      <c r="AD23" s="14"/>
      <c r="AE23" s="14"/>
      <c r="AF23" s="14"/>
      <c r="AG23" s="14">
        <f t="shared" ref="AG23:AS23" si="3">SUM(AG16:AG19,AG21:AG22)</f>
        <v>2759872</v>
      </c>
      <c r="AH23" s="14"/>
      <c r="AI23" s="14"/>
      <c r="AJ23" s="14"/>
      <c r="AK23" s="14">
        <f t="shared" si="3"/>
        <v>3334004</v>
      </c>
      <c r="AL23" s="14"/>
      <c r="AM23" s="14"/>
      <c r="AN23" s="14"/>
      <c r="AO23" s="14">
        <f t="shared" si="3"/>
        <v>3304839</v>
      </c>
      <c r="AP23" s="14"/>
      <c r="AQ23" s="14"/>
      <c r="AR23" s="14"/>
      <c r="AS23" s="14">
        <f t="shared" si="3"/>
        <v>3758153</v>
      </c>
      <c r="AV23" s="23"/>
    </row>
    <row r="24" spans="1:48" x14ac:dyDescent="0.25">
      <c r="A24" s="78" t="s">
        <v>26</v>
      </c>
      <c r="B24" s="72" t="s">
        <v>19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4"/>
      <c r="AV24" s="23"/>
    </row>
    <row r="25" spans="1:48" x14ac:dyDescent="0.25">
      <c r="A25" s="79"/>
      <c r="B25" s="35" t="s">
        <v>14</v>
      </c>
      <c r="C25" s="35"/>
      <c r="D25" s="36">
        <v>0</v>
      </c>
      <c r="E25" s="36"/>
      <c r="F25" s="36"/>
      <c r="G25" s="36"/>
      <c r="H25" s="36"/>
      <c r="I25" s="36"/>
      <c r="J25" s="36">
        <v>0</v>
      </c>
      <c r="K25" s="36"/>
      <c r="L25" s="36"/>
      <c r="M25" s="36">
        <v>0</v>
      </c>
      <c r="N25" s="36"/>
      <c r="O25" s="36"/>
      <c r="P25" s="36"/>
      <c r="Q25" s="36">
        <v>0</v>
      </c>
      <c r="R25" s="36"/>
      <c r="S25" s="36"/>
      <c r="T25" s="36"/>
      <c r="U25" s="36">
        <v>0</v>
      </c>
      <c r="V25" s="36"/>
      <c r="W25" s="36"/>
      <c r="X25" s="36"/>
      <c r="Y25" s="36"/>
      <c r="Z25" s="36"/>
      <c r="AA25" s="36"/>
      <c r="AB25" s="36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V25" s="23"/>
    </row>
    <row r="26" spans="1:48" x14ac:dyDescent="0.25">
      <c r="A26" s="79"/>
      <c r="B26" s="35" t="s">
        <v>15</v>
      </c>
      <c r="C26" s="35">
        <v>0.82123272647510415</v>
      </c>
      <c r="D26" s="36">
        <v>2996</v>
      </c>
      <c r="E26" s="36"/>
      <c r="F26" s="36">
        <v>1.1981837606837606</v>
      </c>
      <c r="G26" s="36">
        <v>6043</v>
      </c>
      <c r="H26" s="36"/>
      <c r="I26" s="36">
        <v>0.88765046812304949</v>
      </c>
      <c r="J26" s="36">
        <v>5508</v>
      </c>
      <c r="K26" s="36"/>
      <c r="L26" s="36">
        <v>1.0683073832245102</v>
      </c>
      <c r="M26" s="36">
        <v>3851</v>
      </c>
      <c r="N26" s="36"/>
      <c r="O26" s="36"/>
      <c r="P26" s="36">
        <v>0.42454160789844853</v>
      </c>
      <c r="Q26" s="36">
        <v>1360</v>
      </c>
      <c r="R26" s="36"/>
      <c r="S26" s="36"/>
      <c r="T26" s="36">
        <v>0.83167220376522699</v>
      </c>
      <c r="U26" s="36">
        <v>1464</v>
      </c>
      <c r="V26" s="36"/>
      <c r="W26" s="36"/>
      <c r="X26" s="36">
        <v>1.3342210386151798</v>
      </c>
      <c r="Y26" s="36">
        <v>2684</v>
      </c>
      <c r="Z26" s="36"/>
      <c r="AA26" s="36"/>
      <c r="AB26" s="36">
        <v>0.91666666666666663</v>
      </c>
      <c r="AC26" s="13">
        <v>2633</v>
      </c>
      <c r="AD26" s="13"/>
      <c r="AE26" s="13"/>
      <c r="AF26" s="13">
        <v>0.29450190528034842</v>
      </c>
      <c r="AG26" s="13">
        <v>1326</v>
      </c>
      <c r="AH26" s="13"/>
      <c r="AI26" s="13"/>
      <c r="AJ26" s="13">
        <v>3.6857670979667283</v>
      </c>
      <c r="AK26" s="13">
        <v>1473</v>
      </c>
      <c r="AL26" s="13"/>
      <c r="AM26" s="13"/>
      <c r="AN26" s="13">
        <v>1.4794383149448345</v>
      </c>
      <c r="AO26" s="13">
        <v>2671</v>
      </c>
      <c r="AP26" s="13"/>
      <c r="AQ26" s="13"/>
      <c r="AR26" s="13">
        <v>1.2681355932203391</v>
      </c>
      <c r="AS26" s="13">
        <v>5324</v>
      </c>
      <c r="AU26" s="23"/>
      <c r="AV26" s="23"/>
    </row>
    <row r="27" spans="1:48" x14ac:dyDescent="0.25">
      <c r="A27" s="79"/>
      <c r="B27" s="35" t="s">
        <v>16</v>
      </c>
      <c r="C27" s="35">
        <v>1.012510533480262</v>
      </c>
      <c r="D27" s="36">
        <v>53418</v>
      </c>
      <c r="E27" s="36"/>
      <c r="F27" s="36">
        <v>0.90970977379428086</v>
      </c>
      <c r="G27" s="36">
        <v>36150</v>
      </c>
      <c r="H27" s="36"/>
      <c r="I27" s="36">
        <v>0.88266203758005113</v>
      </c>
      <c r="J27" s="36">
        <v>41282</v>
      </c>
      <c r="K27" s="36"/>
      <c r="L27" s="36">
        <v>0.953145347755601</v>
      </c>
      <c r="M27" s="36">
        <v>35101</v>
      </c>
      <c r="N27" s="36"/>
      <c r="O27" s="36"/>
      <c r="P27" s="36">
        <v>0.75315079188043721</v>
      </c>
      <c r="Q27" s="36">
        <v>27043</v>
      </c>
      <c r="R27" s="36"/>
      <c r="S27" s="36"/>
      <c r="T27" s="36">
        <v>0.79674947243715522</v>
      </c>
      <c r="U27" s="36">
        <v>10273</v>
      </c>
      <c r="V27" s="36"/>
      <c r="W27" s="36"/>
      <c r="X27" s="36">
        <v>1.0880999953533759</v>
      </c>
      <c r="Y27" s="36">
        <v>17766</v>
      </c>
      <c r="Z27" s="36"/>
      <c r="AA27" s="36"/>
      <c r="AB27" s="36">
        <v>1.1000982192424307</v>
      </c>
      <c r="AC27" s="13">
        <v>16918</v>
      </c>
      <c r="AD27" s="13"/>
      <c r="AE27" s="13"/>
      <c r="AF27" s="13">
        <v>1.2160242226621638</v>
      </c>
      <c r="AG27" s="13">
        <v>29344</v>
      </c>
      <c r="AH27" s="13"/>
      <c r="AI27" s="13"/>
      <c r="AJ27" s="13">
        <v>1.1455659835280598</v>
      </c>
      <c r="AK27" s="13">
        <v>36448</v>
      </c>
      <c r="AL27" s="13"/>
      <c r="AM27" s="13"/>
      <c r="AN27" s="13">
        <v>1.0088056623752995</v>
      </c>
      <c r="AO27" s="13">
        <v>79325</v>
      </c>
      <c r="AP27" s="13"/>
      <c r="AQ27" s="13"/>
      <c r="AR27" s="13">
        <v>1.2913374951660128</v>
      </c>
      <c r="AS27" s="13">
        <v>58581</v>
      </c>
      <c r="AV27" s="23"/>
    </row>
    <row r="28" spans="1:48" x14ac:dyDescent="0.25">
      <c r="A28" s="79"/>
      <c r="B28" s="35" t="s">
        <v>17</v>
      </c>
      <c r="C28" s="35">
        <v>1.0026799019372206</v>
      </c>
      <c r="D28" s="36">
        <v>155002</v>
      </c>
      <c r="E28" s="36"/>
      <c r="F28" s="36">
        <v>0.88865583987535202</v>
      </c>
      <c r="G28" s="36">
        <v>136034</v>
      </c>
      <c r="H28" s="36"/>
      <c r="I28" s="36">
        <v>0.95402252343381211</v>
      </c>
      <c r="J28" s="36">
        <v>128152</v>
      </c>
      <c r="K28" s="36"/>
      <c r="L28" s="36">
        <v>0.81838102239312371</v>
      </c>
      <c r="M28" s="36">
        <v>96884</v>
      </c>
      <c r="N28" s="36"/>
      <c r="O28" s="36"/>
      <c r="P28" s="36">
        <v>0.81036984573925963</v>
      </c>
      <c r="Q28" s="36">
        <v>82038</v>
      </c>
      <c r="R28" s="36"/>
      <c r="S28" s="36"/>
      <c r="T28" s="36">
        <v>0.90256120567451481</v>
      </c>
      <c r="U28" s="36">
        <v>73271</v>
      </c>
      <c r="V28" s="36"/>
      <c r="W28" s="36"/>
      <c r="X28" s="36">
        <v>0.99491031045925293</v>
      </c>
      <c r="Y28" s="36">
        <v>69694</v>
      </c>
      <c r="Z28" s="36"/>
      <c r="AA28" s="36"/>
      <c r="AB28" s="36">
        <v>1.0075489614243323</v>
      </c>
      <c r="AC28" s="13">
        <v>77855</v>
      </c>
      <c r="AD28" s="13"/>
      <c r="AE28" s="13"/>
      <c r="AF28" s="13">
        <v>1.08260490540254</v>
      </c>
      <c r="AG28" s="13">
        <v>80609</v>
      </c>
      <c r="AH28" s="13"/>
      <c r="AI28" s="13"/>
      <c r="AJ28" s="13">
        <v>1.0344512394176151</v>
      </c>
      <c r="AK28" s="13">
        <v>80874</v>
      </c>
      <c r="AL28" s="13"/>
      <c r="AM28" s="13"/>
      <c r="AN28" s="13">
        <v>1.2358411175629049</v>
      </c>
      <c r="AO28" s="13">
        <v>77543</v>
      </c>
      <c r="AP28" s="13"/>
      <c r="AQ28" s="13"/>
      <c r="AR28" s="13">
        <v>1.5416652480337749</v>
      </c>
      <c r="AS28" s="13">
        <v>66097</v>
      </c>
      <c r="AV28" s="23"/>
    </row>
    <row r="29" spans="1:48" x14ac:dyDescent="0.25">
      <c r="A29" s="79"/>
      <c r="B29" s="72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4"/>
      <c r="AU29" s="23"/>
      <c r="AV29" s="23"/>
    </row>
    <row r="30" spans="1:48" x14ac:dyDescent="0.25">
      <c r="A30" s="79"/>
      <c r="B30" s="35" t="s">
        <v>16</v>
      </c>
      <c r="C30" s="35">
        <v>1.5858585858585859</v>
      </c>
      <c r="D30" s="36">
        <v>13150</v>
      </c>
      <c r="E30" s="36"/>
      <c r="F30" s="36">
        <v>0.77388535031847139</v>
      </c>
      <c r="G30" s="36">
        <v>8100</v>
      </c>
      <c r="H30" s="36"/>
      <c r="I30" s="36">
        <v>0.81069958847736623</v>
      </c>
      <c r="J30" s="36">
        <v>9800</v>
      </c>
      <c r="K30" s="36"/>
      <c r="L30" s="36">
        <v>1.2538071065989849</v>
      </c>
      <c r="M30" s="36">
        <v>0</v>
      </c>
      <c r="N30" s="36"/>
      <c r="O30" s="36"/>
      <c r="P30" s="36">
        <v>0.69230769230769229</v>
      </c>
      <c r="Q30" s="36">
        <v>0</v>
      </c>
      <c r="R30" s="36"/>
      <c r="S30" s="36"/>
      <c r="T30" s="36">
        <v>3.1637426900584797</v>
      </c>
      <c r="U30" s="36">
        <v>0</v>
      </c>
      <c r="V30" s="36"/>
      <c r="W30" s="36"/>
      <c r="X30" s="36">
        <v>0.75970425138632158</v>
      </c>
      <c r="Y30" s="36"/>
      <c r="Z30" s="36"/>
      <c r="AA30" s="36"/>
      <c r="AB30" s="36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V30" s="23"/>
    </row>
    <row r="31" spans="1:48" x14ac:dyDescent="0.25">
      <c r="A31" s="54"/>
      <c r="B31" s="35" t="s">
        <v>17</v>
      </c>
      <c r="C31" s="35">
        <v>1.0704712125656684</v>
      </c>
      <c r="D31" s="36">
        <v>396282</v>
      </c>
      <c r="E31" s="36"/>
      <c r="F31" s="36">
        <v>0.96579608187017951</v>
      </c>
      <c r="G31" s="36">
        <v>365055</v>
      </c>
      <c r="H31" s="36"/>
      <c r="I31" s="36">
        <v>0.95669175569919984</v>
      </c>
      <c r="J31" s="36">
        <v>349414</v>
      </c>
      <c r="K31" s="36"/>
      <c r="L31" s="36">
        <v>0.91903929942625429</v>
      </c>
      <c r="M31" s="36">
        <v>267808</v>
      </c>
      <c r="N31" s="36"/>
      <c r="O31" s="36"/>
      <c r="P31" s="36">
        <v>1.1006195946818123</v>
      </c>
      <c r="Q31" s="36">
        <v>66511</v>
      </c>
      <c r="R31" s="36"/>
      <c r="S31" s="36"/>
      <c r="T31" s="36">
        <v>1.0085402195294884</v>
      </c>
      <c r="U31" s="36">
        <v>38440</v>
      </c>
      <c r="V31" s="36"/>
      <c r="W31" s="36"/>
      <c r="X31" s="36">
        <v>0.94279673335623859</v>
      </c>
      <c r="Y31" s="36">
        <v>28212</v>
      </c>
      <c r="Z31" s="36"/>
      <c r="AA31" s="36"/>
      <c r="AB31" s="36">
        <v>0.99006520410623278</v>
      </c>
      <c r="AC31" s="13">
        <v>21677</v>
      </c>
      <c r="AD31" s="13"/>
      <c r="AE31" s="13"/>
      <c r="AF31" s="13"/>
      <c r="AG31" s="13">
        <v>24377</v>
      </c>
      <c r="AH31" s="13"/>
      <c r="AI31" s="13"/>
      <c r="AJ31" s="13">
        <v>0.94046870526791759</v>
      </c>
      <c r="AK31" s="13">
        <v>24298</v>
      </c>
      <c r="AL31" s="13"/>
      <c r="AM31" s="13"/>
      <c r="AN31" s="13">
        <v>1.0618543796212265</v>
      </c>
      <c r="AO31" s="13">
        <v>24043</v>
      </c>
      <c r="AP31" s="13"/>
      <c r="AQ31" s="13"/>
      <c r="AR31" s="13">
        <v>0.96546236386287831</v>
      </c>
      <c r="AS31" s="13">
        <v>21196</v>
      </c>
      <c r="AV31" s="23"/>
    </row>
    <row r="32" spans="1:48" s="30" customFormat="1" x14ac:dyDescent="0.25">
      <c r="A32" s="76" t="s">
        <v>18</v>
      </c>
      <c r="B32" s="77"/>
      <c r="C32" s="53"/>
      <c r="D32" s="38">
        <f>SUM(D25:D28,D30:D31)</f>
        <v>620848</v>
      </c>
      <c r="E32" s="38"/>
      <c r="F32" s="38"/>
      <c r="G32" s="38">
        <f t="shared" ref="G32:M32" si="4">SUM(G25:G28,G30:G31)</f>
        <v>551382</v>
      </c>
      <c r="H32" s="38"/>
      <c r="I32" s="38"/>
      <c r="J32" s="38">
        <f t="shared" si="4"/>
        <v>534156</v>
      </c>
      <c r="K32" s="38"/>
      <c r="L32" s="38"/>
      <c r="M32" s="38">
        <f t="shared" si="4"/>
        <v>403644</v>
      </c>
      <c r="N32" s="38"/>
      <c r="O32" s="38"/>
      <c r="P32" s="38"/>
      <c r="Q32" s="38">
        <f>SUM(Q25:Q28,Q30:Q31)</f>
        <v>176952</v>
      </c>
      <c r="R32" s="38"/>
      <c r="S32" s="38"/>
      <c r="T32" s="38"/>
      <c r="U32" s="38">
        <f>SUM(U25:U28,U30:U31)</f>
        <v>123448</v>
      </c>
      <c r="V32" s="38"/>
      <c r="W32" s="38"/>
      <c r="X32" s="38"/>
      <c r="Y32" s="38">
        <f>SUM(Y25:Y28,Y30:Y31)</f>
        <v>118356</v>
      </c>
      <c r="Z32" s="38"/>
      <c r="AA32" s="38"/>
      <c r="AB32" s="38"/>
      <c r="AC32" s="14">
        <f>SUM(AC25:AC28,AC30:AC31)</f>
        <v>119083</v>
      </c>
      <c r="AD32" s="14"/>
      <c r="AE32" s="14"/>
      <c r="AF32" s="14"/>
      <c r="AG32" s="14">
        <f t="shared" ref="AG32:AS32" si="5">SUM(AG25:AG28,AG30:AG31)</f>
        <v>135656</v>
      </c>
      <c r="AH32" s="14"/>
      <c r="AI32" s="14"/>
      <c r="AJ32" s="14"/>
      <c r="AK32" s="14">
        <f t="shared" si="5"/>
        <v>143093</v>
      </c>
      <c r="AL32" s="14"/>
      <c r="AM32" s="14"/>
      <c r="AN32" s="14"/>
      <c r="AO32" s="14">
        <f t="shared" si="5"/>
        <v>183582</v>
      </c>
      <c r="AP32" s="14"/>
      <c r="AQ32" s="14"/>
      <c r="AR32" s="14"/>
      <c r="AS32" s="14">
        <f t="shared" si="5"/>
        <v>151198</v>
      </c>
      <c r="AT32" s="27"/>
      <c r="AV32" s="50"/>
    </row>
    <row r="33" spans="1:48" s="30" customFormat="1" x14ac:dyDescent="0.25">
      <c r="A33" s="78" t="s">
        <v>43</v>
      </c>
      <c r="B33" s="72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4"/>
      <c r="AT33" s="27"/>
      <c r="AV33" s="50"/>
    </row>
    <row r="34" spans="1:48" s="30" customFormat="1" x14ac:dyDescent="0.25">
      <c r="A34" s="79"/>
      <c r="B34" s="35" t="s">
        <v>14</v>
      </c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>
        <v>0</v>
      </c>
      <c r="Z34" s="36"/>
      <c r="AA34" s="36"/>
      <c r="AB34" s="36"/>
      <c r="AC34" s="13">
        <v>0</v>
      </c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21"/>
      <c r="AT34" s="27"/>
      <c r="AV34" s="50"/>
    </row>
    <row r="35" spans="1:48" s="30" customFormat="1" x14ac:dyDescent="0.25">
      <c r="A35" s="79"/>
      <c r="B35" s="35" t="s">
        <v>15</v>
      </c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>
        <v>0</v>
      </c>
      <c r="Z35" s="36"/>
      <c r="AA35" s="36"/>
      <c r="AB35" s="36"/>
      <c r="AC35" s="13">
        <v>0</v>
      </c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21"/>
      <c r="AT35" s="27"/>
      <c r="AV35" s="50"/>
    </row>
    <row r="36" spans="1:48" s="30" customFormat="1" x14ac:dyDescent="0.25">
      <c r="A36" s="79"/>
      <c r="B36" s="35" t="s">
        <v>16</v>
      </c>
      <c r="C36" s="35">
        <v>1.0157764134596872</v>
      </c>
      <c r="D36" s="36">
        <v>252777</v>
      </c>
      <c r="E36" s="36"/>
      <c r="F36" s="36">
        <v>0.90764354684160098</v>
      </c>
      <c r="G36" s="36">
        <v>231638</v>
      </c>
      <c r="H36" s="36"/>
      <c r="I36" s="36">
        <v>1.0221118819462169</v>
      </c>
      <c r="J36" s="36">
        <v>234249</v>
      </c>
      <c r="K36" s="36"/>
      <c r="L36" s="36">
        <v>0.79117104028572294</v>
      </c>
      <c r="M36" s="36">
        <v>177574</v>
      </c>
      <c r="N36" s="36"/>
      <c r="O36" s="36"/>
      <c r="P36" s="36">
        <v>0.54876240938043952</v>
      </c>
      <c r="Q36" s="36">
        <v>102292</v>
      </c>
      <c r="R36" s="36"/>
      <c r="S36" s="36"/>
      <c r="T36" s="36">
        <v>0.88637952790079</v>
      </c>
      <c r="U36" s="36">
        <v>96124</v>
      </c>
      <c r="V36" s="36"/>
      <c r="W36" s="36"/>
      <c r="X36" s="36">
        <v>1.1988617452549941</v>
      </c>
      <c r="Y36" s="36">
        <v>94206</v>
      </c>
      <c r="Z36" s="36"/>
      <c r="AA36" s="36"/>
      <c r="AB36" s="36">
        <v>0.90481696516433774</v>
      </c>
      <c r="AC36" s="13">
        <v>96050</v>
      </c>
      <c r="AD36" s="13"/>
      <c r="AE36" s="13"/>
      <c r="AF36" s="13">
        <v>1.3465564588487995</v>
      </c>
      <c r="AG36" s="13">
        <v>131518</v>
      </c>
      <c r="AH36" s="13"/>
      <c r="AI36" s="13"/>
      <c r="AJ36" s="13">
        <v>1.4551034830893488</v>
      </c>
      <c r="AK36" s="13">
        <v>188821</v>
      </c>
      <c r="AL36" s="13"/>
      <c r="AM36" s="13"/>
      <c r="AN36" s="13">
        <v>1.0253478389579633</v>
      </c>
      <c r="AO36" s="13">
        <v>217013</v>
      </c>
      <c r="AP36" s="13"/>
      <c r="AQ36" s="13"/>
      <c r="AR36" s="13">
        <v>1.1421695117109965</v>
      </c>
      <c r="AS36" s="13">
        <v>274398</v>
      </c>
      <c r="AT36" s="27"/>
      <c r="AV36" s="50"/>
    </row>
    <row r="37" spans="1:48" s="30" customFormat="1" x14ac:dyDescent="0.25">
      <c r="A37" s="79"/>
      <c r="B37" s="35" t="s">
        <v>17</v>
      </c>
      <c r="C37" s="35">
        <v>1.0715116279069767</v>
      </c>
      <c r="D37" s="36">
        <v>3398</v>
      </c>
      <c r="E37" s="36"/>
      <c r="F37" s="36">
        <v>0.94592150479291015</v>
      </c>
      <c r="G37" s="36">
        <v>2685</v>
      </c>
      <c r="H37" s="36"/>
      <c r="I37" s="36">
        <v>1.1543021032504781</v>
      </c>
      <c r="J37" s="36">
        <v>1060</v>
      </c>
      <c r="K37" s="36"/>
      <c r="L37" s="36">
        <v>2.4187510352824249</v>
      </c>
      <c r="M37" s="36">
        <v>2676</v>
      </c>
      <c r="N37" s="36"/>
      <c r="O37" s="36"/>
      <c r="P37" s="36">
        <v>1.0451308039994522</v>
      </c>
      <c r="Q37" s="36">
        <v>5406</v>
      </c>
      <c r="R37" s="36"/>
      <c r="S37" s="36"/>
      <c r="T37" s="36">
        <v>0.80382339553937188</v>
      </c>
      <c r="U37" s="36">
        <v>4321</v>
      </c>
      <c r="V37" s="36"/>
      <c r="W37" s="36"/>
      <c r="X37" s="36">
        <v>1.3472568252385837</v>
      </c>
      <c r="Y37" s="36">
        <v>2304</v>
      </c>
      <c r="Z37" s="36"/>
      <c r="AA37" s="36"/>
      <c r="AB37" s="36">
        <v>0.31729896532946089</v>
      </c>
      <c r="AC37" s="13">
        <v>1352</v>
      </c>
      <c r="AD37" s="13"/>
      <c r="AE37" s="13"/>
      <c r="AF37" s="13">
        <v>1.589816933638444</v>
      </c>
      <c r="AG37" s="13">
        <v>3492</v>
      </c>
      <c r="AH37" s="13"/>
      <c r="AI37" s="13"/>
      <c r="AJ37" s="13">
        <v>0.78241573707568668</v>
      </c>
      <c r="AK37" s="13">
        <v>4201</v>
      </c>
      <c r="AL37" s="13"/>
      <c r="AM37" s="13"/>
      <c r="AN37" s="13">
        <v>1.2029740916756093</v>
      </c>
      <c r="AO37" s="13">
        <v>8506</v>
      </c>
      <c r="AP37" s="13"/>
      <c r="AQ37" s="13"/>
      <c r="AR37" s="13">
        <v>0.16541353383458646</v>
      </c>
      <c r="AS37" s="13">
        <v>5305</v>
      </c>
      <c r="AT37" s="27"/>
      <c r="AV37" s="50"/>
    </row>
    <row r="38" spans="1:48" s="30" customFormat="1" x14ac:dyDescent="0.25">
      <c r="A38" s="79"/>
      <c r="B38" s="72" t="s">
        <v>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4"/>
      <c r="AT38" s="27"/>
    </row>
    <row r="39" spans="1:48" s="30" customFormat="1" x14ac:dyDescent="0.25">
      <c r="A39" s="79"/>
      <c r="B39" s="39" t="s">
        <v>16</v>
      </c>
      <c r="C39" s="39">
        <v>0.97177419354838712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27"/>
    </row>
    <row r="40" spans="1:48" s="30" customFormat="1" x14ac:dyDescent="0.25">
      <c r="A40" s="76" t="s">
        <v>18</v>
      </c>
      <c r="B40" s="77"/>
      <c r="C40" s="53"/>
      <c r="D40" s="38">
        <f>SUM(D34:D37,D39)</f>
        <v>256175</v>
      </c>
      <c r="E40" s="38"/>
      <c r="F40" s="38"/>
      <c r="G40" s="38">
        <f t="shared" ref="G40:AS40" si="6">SUM(G34:G37,G39)</f>
        <v>234323</v>
      </c>
      <c r="H40" s="38"/>
      <c r="I40" s="38"/>
      <c r="J40" s="38">
        <f>SUM(J34:J37,J39)</f>
        <v>235309</v>
      </c>
      <c r="K40" s="38"/>
      <c r="L40" s="38"/>
      <c r="M40" s="38">
        <f t="shared" si="6"/>
        <v>180250</v>
      </c>
      <c r="N40" s="38"/>
      <c r="O40" s="38"/>
      <c r="P40" s="38"/>
      <c r="Q40" s="38">
        <f>SUM(Q34:Q37,Q39)</f>
        <v>107698</v>
      </c>
      <c r="R40" s="38"/>
      <c r="S40" s="38"/>
      <c r="T40" s="38"/>
      <c r="U40" s="38">
        <f t="shared" si="6"/>
        <v>100445</v>
      </c>
      <c r="V40" s="38"/>
      <c r="W40" s="38"/>
      <c r="X40" s="38"/>
      <c r="Y40" s="38">
        <v>96510</v>
      </c>
      <c r="Z40" s="38"/>
      <c r="AA40" s="38"/>
      <c r="AB40" s="38"/>
      <c r="AC40" s="14">
        <f>SUM(AC34:AC37,AC39)</f>
        <v>97402</v>
      </c>
      <c r="AD40" s="14"/>
      <c r="AE40" s="14"/>
      <c r="AF40" s="14"/>
      <c r="AG40" s="14">
        <f t="shared" si="6"/>
        <v>135010</v>
      </c>
      <c r="AH40" s="14"/>
      <c r="AI40" s="14"/>
      <c r="AJ40" s="14"/>
      <c r="AK40" s="14">
        <f t="shared" si="6"/>
        <v>193022</v>
      </c>
      <c r="AL40" s="14"/>
      <c r="AM40" s="14"/>
      <c r="AN40" s="14"/>
      <c r="AO40" s="14">
        <f t="shared" si="6"/>
        <v>225519</v>
      </c>
      <c r="AP40" s="14"/>
      <c r="AQ40" s="14"/>
      <c r="AR40" s="14"/>
      <c r="AS40" s="14">
        <f t="shared" si="6"/>
        <v>279703</v>
      </c>
      <c r="AT40" s="27"/>
    </row>
    <row r="41" spans="1:48" s="30" customFormat="1" x14ac:dyDescent="0.25">
      <c r="A41" s="78" t="s">
        <v>50</v>
      </c>
      <c r="B41" s="72" t="s">
        <v>19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4"/>
      <c r="AT41" s="27"/>
    </row>
    <row r="42" spans="1:48" s="30" customFormat="1" x14ac:dyDescent="0.25">
      <c r="A42" s="79"/>
      <c r="B42" s="35" t="s">
        <v>14</v>
      </c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>
        <v>0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13">
        <v>0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21"/>
      <c r="AT42" s="27"/>
    </row>
    <row r="43" spans="1:48" s="30" customFormat="1" x14ac:dyDescent="0.25">
      <c r="A43" s="79"/>
      <c r="B43" s="35" t="s">
        <v>15</v>
      </c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>
        <v>0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13">
        <v>0</v>
      </c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21"/>
      <c r="AT43" s="27"/>
    </row>
    <row r="44" spans="1:48" s="30" customFormat="1" x14ac:dyDescent="0.25">
      <c r="A44" s="79"/>
      <c r="B44" s="35" t="s">
        <v>16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>
        <v>0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13">
        <v>0</v>
      </c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21"/>
      <c r="AT44" s="27"/>
    </row>
    <row r="45" spans="1:48" s="30" customFormat="1" x14ac:dyDescent="0.25">
      <c r="A45" s="79"/>
      <c r="B45" s="35" t="s">
        <v>17</v>
      </c>
      <c r="C45" s="35">
        <v>1.1998491704374057</v>
      </c>
      <c r="D45" s="36">
        <v>2699</v>
      </c>
      <c r="E45" s="36"/>
      <c r="F45" s="36">
        <v>0.78158390949088619</v>
      </c>
      <c r="G45" s="36">
        <v>2289</v>
      </c>
      <c r="H45" s="36"/>
      <c r="I45" s="36">
        <v>1.1174105347808605</v>
      </c>
      <c r="J45" s="36">
        <v>2624</v>
      </c>
      <c r="K45" s="36"/>
      <c r="L45" s="36">
        <v>0.96005757466714647</v>
      </c>
      <c r="M45" s="36">
        <v>2408</v>
      </c>
      <c r="N45" s="36"/>
      <c r="O45" s="36"/>
      <c r="P45" s="36"/>
      <c r="Q45" s="36">
        <v>3548</v>
      </c>
      <c r="R45" s="36"/>
      <c r="S45" s="36"/>
      <c r="T45" s="36">
        <f>Q45/M45</f>
        <v>1.4734219269102991</v>
      </c>
      <c r="U45" s="36">
        <v>3396</v>
      </c>
      <c r="V45" s="36"/>
      <c r="W45" s="36"/>
      <c r="X45" s="36">
        <v>1.470726668134964</v>
      </c>
      <c r="Y45" s="36">
        <v>3585</v>
      </c>
      <c r="Z45" s="36"/>
      <c r="AA45" s="36"/>
      <c r="AB45" s="36">
        <v>0.75248643761301992</v>
      </c>
      <c r="AC45" s="13">
        <v>3263</v>
      </c>
      <c r="AD45" s="13"/>
      <c r="AE45" s="13"/>
      <c r="AF45" s="13">
        <v>0.87383598678281771</v>
      </c>
      <c r="AG45" s="13">
        <v>2861</v>
      </c>
      <c r="AH45" s="13"/>
      <c r="AI45" s="13"/>
      <c r="AJ45" s="13">
        <f>AG45/AC45</f>
        <v>0.87680049034630703</v>
      </c>
      <c r="AK45" s="13">
        <v>2751</v>
      </c>
      <c r="AL45" s="13"/>
      <c r="AM45" s="13"/>
      <c r="AN45" s="13">
        <f>AK45/AG45</f>
        <v>0.96155190492834675</v>
      </c>
      <c r="AO45" s="13">
        <v>2201</v>
      </c>
      <c r="AP45" s="13"/>
      <c r="AQ45" s="13"/>
      <c r="AR45" s="13">
        <f>AO45/AK45</f>
        <v>0.80007270083605964</v>
      </c>
      <c r="AS45" s="13">
        <v>3108</v>
      </c>
      <c r="AT45" s="27"/>
      <c r="AV45" s="50"/>
    </row>
    <row r="46" spans="1:48" s="30" customFormat="1" x14ac:dyDescent="0.25">
      <c r="A46" s="79"/>
      <c r="B46" s="72" t="s">
        <v>20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4"/>
      <c r="AT46" s="27"/>
      <c r="AV46" s="50"/>
    </row>
    <row r="47" spans="1:48" s="30" customFormat="1" x14ac:dyDescent="0.25">
      <c r="A47" s="79"/>
      <c r="B47" s="35" t="s">
        <v>17</v>
      </c>
      <c r="C47" s="35">
        <v>1.2521575277934802</v>
      </c>
      <c r="D47" s="36">
        <v>27262</v>
      </c>
      <c r="E47" s="36"/>
      <c r="F47" s="36">
        <v>0.82143502076686936</v>
      </c>
      <c r="G47" s="36">
        <v>25430</v>
      </c>
      <c r="H47" s="36"/>
      <c r="I47" s="36">
        <v>0.86839116256915694</v>
      </c>
      <c r="J47" s="36">
        <v>24826</v>
      </c>
      <c r="K47" s="36"/>
      <c r="L47" s="36">
        <v>1.0884772794396862</v>
      </c>
      <c r="M47" s="36">
        <v>11631</v>
      </c>
      <c r="N47" s="36"/>
      <c r="O47" s="36"/>
      <c r="P47" s="36"/>
      <c r="Q47" s="36">
        <v>0</v>
      </c>
      <c r="R47" s="36"/>
      <c r="S47" s="36"/>
      <c r="T47" s="36">
        <v>0.99171680862702194</v>
      </c>
      <c r="U47" s="36">
        <f>Q47*T47</f>
        <v>0</v>
      </c>
      <c r="V47" s="36"/>
      <c r="W47" s="36"/>
      <c r="X47" s="36">
        <v>0.96274742550979397</v>
      </c>
      <c r="Y47" s="36"/>
      <c r="Z47" s="36"/>
      <c r="AA47" s="36"/>
      <c r="AB47" s="36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21"/>
      <c r="AT47" s="27"/>
      <c r="AV47" s="50"/>
    </row>
    <row r="48" spans="1:48" s="30" customFormat="1" x14ac:dyDescent="0.25">
      <c r="A48" s="76" t="s">
        <v>18</v>
      </c>
      <c r="B48" s="77"/>
      <c r="C48" s="53"/>
      <c r="D48" s="38">
        <f>SUM(D42:D45,D47)</f>
        <v>29961</v>
      </c>
      <c r="E48" s="38"/>
      <c r="F48" s="38"/>
      <c r="G48" s="38">
        <f t="shared" ref="G48:AS48" si="7">SUM(G42:G45,G47)</f>
        <v>27719</v>
      </c>
      <c r="H48" s="38"/>
      <c r="I48" s="38"/>
      <c r="J48" s="38">
        <f>SUM(J42:J45,J47)</f>
        <v>27450</v>
      </c>
      <c r="K48" s="38"/>
      <c r="L48" s="38"/>
      <c r="M48" s="38">
        <f t="shared" si="7"/>
        <v>14039</v>
      </c>
      <c r="N48" s="38"/>
      <c r="O48" s="38"/>
      <c r="P48" s="38"/>
      <c r="Q48" s="38">
        <f>SUM(Q42:Q45,Q47)</f>
        <v>3548</v>
      </c>
      <c r="R48" s="38"/>
      <c r="S48" s="38"/>
      <c r="T48" s="38"/>
      <c r="U48" s="38">
        <f t="shared" si="7"/>
        <v>3396</v>
      </c>
      <c r="V48" s="38"/>
      <c r="W48" s="38"/>
      <c r="X48" s="38"/>
      <c r="Y48" s="38">
        <f>SUM(Y42:Y45,Y47)</f>
        <v>3585</v>
      </c>
      <c r="Z48" s="38"/>
      <c r="AA48" s="38"/>
      <c r="AB48" s="38"/>
      <c r="AC48" s="14">
        <f>SUM(AC42:AC45,AC47)</f>
        <v>3263</v>
      </c>
      <c r="AD48" s="14"/>
      <c r="AE48" s="14"/>
      <c r="AF48" s="14"/>
      <c r="AG48" s="14">
        <f t="shared" si="7"/>
        <v>2861</v>
      </c>
      <c r="AH48" s="14"/>
      <c r="AI48" s="14"/>
      <c r="AJ48" s="14"/>
      <c r="AK48" s="14">
        <f t="shared" si="7"/>
        <v>2751</v>
      </c>
      <c r="AL48" s="14"/>
      <c r="AM48" s="14"/>
      <c r="AN48" s="14"/>
      <c r="AO48" s="14">
        <f t="shared" si="7"/>
        <v>2201</v>
      </c>
      <c r="AP48" s="14"/>
      <c r="AQ48" s="14"/>
      <c r="AR48" s="14"/>
      <c r="AS48" s="14">
        <f t="shared" si="7"/>
        <v>3108</v>
      </c>
      <c r="AT48" s="27"/>
      <c r="AV48" s="50"/>
    </row>
    <row r="49" spans="1:48" s="30" customFormat="1" x14ac:dyDescent="0.25">
      <c r="A49" s="78" t="s">
        <v>32</v>
      </c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4"/>
      <c r="AT49" s="27"/>
      <c r="AV49" s="50"/>
    </row>
    <row r="50" spans="1:48" s="30" customFormat="1" x14ac:dyDescent="0.25">
      <c r="A50" s="79"/>
      <c r="B50" s="35" t="s">
        <v>14</v>
      </c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6">
        <v>0</v>
      </c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21"/>
      <c r="AT50" s="27"/>
      <c r="AV50" s="50"/>
    </row>
    <row r="51" spans="1:48" s="30" customFormat="1" x14ac:dyDescent="0.25">
      <c r="A51" s="79"/>
      <c r="B51" s="35" t="s">
        <v>15</v>
      </c>
      <c r="C51" s="35"/>
      <c r="D51" s="36"/>
      <c r="E51" s="36"/>
      <c r="F51" s="36"/>
      <c r="G51" s="36"/>
      <c r="H51" s="36"/>
      <c r="I51" s="36"/>
      <c r="J51" s="36"/>
      <c r="K51" s="36"/>
      <c r="L51" s="36"/>
      <c r="M51" s="36">
        <v>0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21"/>
      <c r="AT51" s="27"/>
      <c r="AV51" s="50"/>
    </row>
    <row r="52" spans="1:48" s="30" customFormat="1" x14ac:dyDescent="0.25">
      <c r="A52" s="79"/>
      <c r="B52" s="35" t="s">
        <v>16</v>
      </c>
      <c r="C52" s="35">
        <v>0.96523435647655753</v>
      </c>
      <c r="D52" s="36">
        <v>208005</v>
      </c>
      <c r="E52" s="36"/>
      <c r="F52" s="36">
        <v>0.83396146962838191</v>
      </c>
      <c r="G52" s="36">
        <v>198628</v>
      </c>
      <c r="H52" s="36"/>
      <c r="I52" s="36">
        <v>0.91464481978001633</v>
      </c>
      <c r="J52" s="36">
        <v>188554</v>
      </c>
      <c r="K52" s="36"/>
      <c r="L52" s="36">
        <v>0.87425069812162726</v>
      </c>
      <c r="M52" s="36">
        <v>149293</v>
      </c>
      <c r="N52" s="36"/>
      <c r="O52" s="36"/>
      <c r="P52" s="36">
        <v>0.77431525771568399</v>
      </c>
      <c r="Q52" s="36">
        <v>94128</v>
      </c>
      <c r="R52" s="36"/>
      <c r="S52" s="36"/>
      <c r="T52" s="36">
        <v>0.93193880948982988</v>
      </c>
      <c r="U52" s="36">
        <v>108957</v>
      </c>
      <c r="V52" s="36"/>
      <c r="W52" s="36"/>
      <c r="X52" s="36">
        <v>1.0396989761689468</v>
      </c>
      <c r="Y52" s="36">
        <v>114577</v>
      </c>
      <c r="Z52" s="36"/>
      <c r="AA52" s="36"/>
      <c r="AB52" s="36">
        <v>0.97893754909662212</v>
      </c>
      <c r="AC52" s="13">
        <v>107976</v>
      </c>
      <c r="AD52" s="13"/>
      <c r="AE52" s="13"/>
      <c r="AF52" s="13">
        <v>1.1730993816855695</v>
      </c>
      <c r="AG52" s="13">
        <v>119316</v>
      </c>
      <c r="AH52" s="13"/>
      <c r="AI52" s="13"/>
      <c r="AJ52" s="13">
        <v>1.3212119731514111</v>
      </c>
      <c r="AK52" s="13">
        <v>166293</v>
      </c>
      <c r="AL52" s="13"/>
      <c r="AM52" s="13"/>
      <c r="AN52" s="13">
        <v>1.0970664645026489</v>
      </c>
      <c r="AO52" s="13">
        <v>191951</v>
      </c>
      <c r="AP52" s="13"/>
      <c r="AQ52" s="13"/>
      <c r="AR52" s="13">
        <v>1.0599265139640324</v>
      </c>
      <c r="AS52" s="13">
        <v>222384</v>
      </c>
      <c r="AT52" s="27"/>
      <c r="AV52" s="50"/>
    </row>
    <row r="53" spans="1:48" s="30" customFormat="1" x14ac:dyDescent="0.25">
      <c r="A53" s="79"/>
      <c r="B53" s="35" t="s">
        <v>17</v>
      </c>
      <c r="C53" s="35">
        <v>1.2281749049429658</v>
      </c>
      <c r="D53" s="36">
        <v>24244</v>
      </c>
      <c r="E53" s="36"/>
      <c r="F53" s="36">
        <v>0.89814556824866099</v>
      </c>
      <c r="G53" s="36">
        <v>19987</v>
      </c>
      <c r="H53" s="36"/>
      <c r="I53" s="36">
        <v>0.84664437627106959</v>
      </c>
      <c r="J53" s="36">
        <v>24612</v>
      </c>
      <c r="K53" s="36"/>
      <c r="L53" s="36">
        <v>0.72742447683413403</v>
      </c>
      <c r="M53" s="36">
        <v>13506</v>
      </c>
      <c r="N53" s="36"/>
      <c r="O53" s="36"/>
      <c r="P53" s="36">
        <v>0.92393798623160017</v>
      </c>
      <c r="Q53" s="36">
        <v>11863</v>
      </c>
      <c r="R53" s="36"/>
      <c r="S53" s="36"/>
      <c r="T53" s="36">
        <v>1.0058759389386964</v>
      </c>
      <c r="U53" s="36">
        <v>11783</v>
      </c>
      <c r="V53" s="36"/>
      <c r="W53" s="36"/>
      <c r="X53" s="36">
        <v>0.89177958446251127</v>
      </c>
      <c r="Y53" s="36">
        <v>10215</v>
      </c>
      <c r="Z53" s="36"/>
      <c r="AA53" s="36"/>
      <c r="AB53" s="36">
        <v>1.0249189627228525</v>
      </c>
      <c r="AC53" s="13">
        <v>11371</v>
      </c>
      <c r="AD53" s="13"/>
      <c r="AE53" s="13"/>
      <c r="AF53" s="13">
        <v>1.0967911972062989</v>
      </c>
      <c r="AG53" s="13">
        <v>13787</v>
      </c>
      <c r="AH53" s="13"/>
      <c r="AI53" s="13"/>
      <c r="AJ53" s="13">
        <v>1.1037486483239216</v>
      </c>
      <c r="AK53" s="13">
        <v>16881</v>
      </c>
      <c r="AL53" s="13"/>
      <c r="AM53" s="13"/>
      <c r="AN53" s="13">
        <v>1.1718826538943015</v>
      </c>
      <c r="AO53" s="13">
        <v>19057</v>
      </c>
      <c r="AP53" s="13"/>
      <c r="AQ53" s="13"/>
      <c r="AR53" s="13">
        <v>1.1037573730899632</v>
      </c>
      <c r="AS53" s="13">
        <v>19816</v>
      </c>
      <c r="AT53" s="27"/>
      <c r="AV53" s="50"/>
    </row>
    <row r="54" spans="1:48" s="30" customFormat="1" x14ac:dyDescent="0.25">
      <c r="A54" s="79"/>
      <c r="B54" s="72" t="s">
        <v>20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27"/>
      <c r="AV54" s="50"/>
    </row>
    <row r="55" spans="1:48" s="30" customFormat="1" x14ac:dyDescent="0.25">
      <c r="A55" s="79"/>
      <c r="B55" s="40" t="s">
        <v>20</v>
      </c>
      <c r="C55" s="40"/>
      <c r="D55" s="36">
        <v>0</v>
      </c>
      <c r="E55" s="36">
        <v>1</v>
      </c>
      <c r="F55" s="36"/>
      <c r="G55" s="36">
        <f>D55*E55</f>
        <v>0</v>
      </c>
      <c r="H55" s="36">
        <v>1</v>
      </c>
      <c r="I55" s="36"/>
      <c r="J55" s="36">
        <f>G55*H55</f>
        <v>0</v>
      </c>
      <c r="K55" s="36">
        <v>1</v>
      </c>
      <c r="L55" s="36"/>
      <c r="M55" s="36">
        <f>J55*K55</f>
        <v>0</v>
      </c>
      <c r="N55" s="36"/>
      <c r="O55" s="36">
        <v>1</v>
      </c>
      <c r="P55" s="36"/>
      <c r="Q55" s="36">
        <f>M55*O55</f>
        <v>0</v>
      </c>
      <c r="R55" s="36"/>
      <c r="S55" s="36">
        <v>1</v>
      </c>
      <c r="T55" s="36"/>
      <c r="U55" s="36">
        <f>Q55*S55</f>
        <v>0</v>
      </c>
      <c r="V55" s="36"/>
      <c r="W55" s="36">
        <v>1</v>
      </c>
      <c r="X55" s="36"/>
      <c r="Y55" s="36"/>
      <c r="Z55" s="36"/>
      <c r="AA55" s="36">
        <v>1</v>
      </c>
      <c r="AB55" s="36"/>
      <c r="AC55" s="13">
        <f>Y55*AA55</f>
        <v>0</v>
      </c>
      <c r="AD55" s="13"/>
      <c r="AE55" s="13"/>
      <c r="AF55" s="13"/>
      <c r="AG55" s="13">
        <v>0</v>
      </c>
      <c r="AH55" s="13"/>
      <c r="AI55" s="13">
        <v>1</v>
      </c>
      <c r="AJ55" s="13"/>
      <c r="AK55" s="13">
        <v>0</v>
      </c>
      <c r="AL55" s="13"/>
      <c r="AM55" s="13">
        <v>1</v>
      </c>
      <c r="AN55" s="13">
        <v>0</v>
      </c>
      <c r="AO55" s="13">
        <v>0</v>
      </c>
      <c r="AP55" s="13"/>
      <c r="AQ55" s="13">
        <v>1</v>
      </c>
      <c r="AR55" s="13"/>
      <c r="AS55" s="21">
        <f>AQ55*AO55</f>
        <v>0</v>
      </c>
      <c r="AT55" s="27"/>
      <c r="AV55" s="50"/>
    </row>
    <row r="56" spans="1:48" s="30" customFormat="1" x14ac:dyDescent="0.25">
      <c r="A56" s="76" t="s">
        <v>18</v>
      </c>
      <c r="B56" s="77"/>
      <c r="C56" s="53"/>
      <c r="D56" s="38">
        <f>SUM(D50:D53,D55)</f>
        <v>232249</v>
      </c>
      <c r="E56" s="38"/>
      <c r="F56" s="38"/>
      <c r="G56" s="38">
        <f t="shared" ref="G56:AS56" si="8">SUM(G50:G53,G55)</f>
        <v>218615</v>
      </c>
      <c r="H56" s="38"/>
      <c r="I56" s="38"/>
      <c r="J56" s="38">
        <f>SUM(J50:J53,J55)</f>
        <v>213166</v>
      </c>
      <c r="K56" s="38"/>
      <c r="L56" s="38"/>
      <c r="M56" s="38">
        <f t="shared" si="8"/>
        <v>162799</v>
      </c>
      <c r="N56" s="38"/>
      <c r="O56" s="38"/>
      <c r="P56" s="38"/>
      <c r="Q56" s="38">
        <f>SUM(Q50:Q53,Q55)</f>
        <v>105991</v>
      </c>
      <c r="R56" s="38"/>
      <c r="S56" s="38"/>
      <c r="T56" s="38"/>
      <c r="U56" s="38">
        <f t="shared" si="8"/>
        <v>120740</v>
      </c>
      <c r="V56" s="38"/>
      <c r="W56" s="38"/>
      <c r="X56" s="38"/>
      <c r="Y56" s="38">
        <f>SUM(Y50:Y53,Y55)</f>
        <v>124792</v>
      </c>
      <c r="Z56" s="38"/>
      <c r="AA56" s="38"/>
      <c r="AB56" s="38"/>
      <c r="AC56" s="14">
        <f>SUM(AC50:AC53,AC55)</f>
        <v>119347</v>
      </c>
      <c r="AD56" s="14"/>
      <c r="AE56" s="14"/>
      <c r="AF56" s="14"/>
      <c r="AG56" s="14">
        <f t="shared" si="8"/>
        <v>133103</v>
      </c>
      <c r="AH56" s="14"/>
      <c r="AI56" s="14"/>
      <c r="AJ56" s="14"/>
      <c r="AK56" s="14">
        <f t="shared" si="8"/>
        <v>183174</v>
      </c>
      <c r="AL56" s="14"/>
      <c r="AM56" s="14"/>
      <c r="AN56" s="14"/>
      <c r="AO56" s="14">
        <f t="shared" si="8"/>
        <v>211008</v>
      </c>
      <c r="AP56" s="14"/>
      <c r="AQ56" s="14"/>
      <c r="AR56" s="14"/>
      <c r="AS56" s="14">
        <f t="shared" si="8"/>
        <v>242200</v>
      </c>
      <c r="AT56" s="27"/>
      <c r="AV56" s="50"/>
    </row>
    <row r="57" spans="1:48" x14ac:dyDescent="0.25">
      <c r="A57" s="78" t="s">
        <v>45</v>
      </c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4"/>
      <c r="AV57" s="23"/>
    </row>
    <row r="58" spans="1:48" x14ac:dyDescent="0.25">
      <c r="A58" s="79"/>
      <c r="B58" s="35" t="s">
        <v>14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21"/>
      <c r="AV58" s="23"/>
    </row>
    <row r="59" spans="1:48" x14ac:dyDescent="0.25">
      <c r="A59" s="79"/>
      <c r="B59" s="35" t="s">
        <v>15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21"/>
      <c r="AV59" s="23"/>
    </row>
    <row r="60" spans="1:48" x14ac:dyDescent="0.25">
      <c r="A60" s="79"/>
      <c r="B60" s="35" t="s">
        <v>16</v>
      </c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 t="e">
        <f>Q60/M60</f>
        <v>#DIV/0!</v>
      </c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21"/>
      <c r="AV60" s="23"/>
    </row>
    <row r="61" spans="1:48" x14ac:dyDescent="0.25">
      <c r="A61" s="79"/>
      <c r="B61" s="35" t="s">
        <v>17</v>
      </c>
      <c r="C61" s="35">
        <v>0.6276452048626745</v>
      </c>
      <c r="D61" s="36">
        <v>4197</v>
      </c>
      <c r="E61" s="36"/>
      <c r="F61" s="36">
        <v>0.90100430416068866</v>
      </c>
      <c r="G61" s="36">
        <v>5667</v>
      </c>
      <c r="H61" s="36"/>
      <c r="I61" s="36">
        <v>0.97571656050955413</v>
      </c>
      <c r="J61" s="36">
        <v>5208</v>
      </c>
      <c r="K61" s="36"/>
      <c r="L61" s="36">
        <v>0.90004079967360262</v>
      </c>
      <c r="M61" s="36">
        <v>4687</v>
      </c>
      <c r="N61" s="36"/>
      <c r="O61" s="36"/>
      <c r="P61" s="36">
        <v>1.7774252039891205</v>
      </c>
      <c r="Q61" s="36">
        <v>3707</v>
      </c>
      <c r="R61" s="36"/>
      <c r="S61" s="36"/>
      <c r="T61" s="36">
        <v>0.52333588370313699</v>
      </c>
      <c r="U61" s="36">
        <v>2328</v>
      </c>
      <c r="V61" s="36"/>
      <c r="W61" s="36"/>
      <c r="X61" s="36">
        <v>1.3586744639376218</v>
      </c>
      <c r="Y61" s="36">
        <v>2206</v>
      </c>
      <c r="Z61" s="36"/>
      <c r="AA61" s="36"/>
      <c r="AB61" s="36">
        <v>0.80200860832137733</v>
      </c>
      <c r="AC61" s="13">
        <v>2665</v>
      </c>
      <c r="AD61" s="13"/>
      <c r="AE61" s="13"/>
      <c r="AF61" s="13">
        <v>1.4521466905187836</v>
      </c>
      <c r="AG61" s="13">
        <v>3768</v>
      </c>
      <c r="AH61" s="13"/>
      <c r="AI61" s="13"/>
      <c r="AJ61" s="13">
        <v>1.1887896519864489</v>
      </c>
      <c r="AK61" s="13">
        <v>4044</v>
      </c>
      <c r="AL61" s="13"/>
      <c r="AM61" s="13"/>
      <c r="AN61" s="13">
        <v>1.1984455958549223</v>
      </c>
      <c r="AO61" s="13">
        <v>4197</v>
      </c>
      <c r="AP61" s="13"/>
      <c r="AQ61" s="13"/>
      <c r="AR61" s="13">
        <v>1.0925205361003025</v>
      </c>
      <c r="AS61" s="13">
        <v>4227</v>
      </c>
      <c r="AV61" s="23"/>
    </row>
    <row r="62" spans="1:48" x14ac:dyDescent="0.25">
      <c r="A62" s="79"/>
      <c r="B62" s="72" t="s">
        <v>20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</row>
    <row r="63" spans="1:48" x14ac:dyDescent="0.25">
      <c r="A63" s="79"/>
      <c r="B63" s="40"/>
      <c r="C63" s="4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21"/>
    </row>
    <row r="64" spans="1:48" x14ac:dyDescent="0.25">
      <c r="A64" s="76" t="s">
        <v>18</v>
      </c>
      <c r="B64" s="77"/>
      <c r="C64" s="53"/>
      <c r="D64" s="38">
        <f>SUM(D58:D61,D63)</f>
        <v>4197</v>
      </c>
      <c r="E64" s="38"/>
      <c r="F64" s="38"/>
      <c r="G64" s="38">
        <f t="shared" ref="G64:AS64" si="9">SUM(G58:G61,G63)</f>
        <v>5667</v>
      </c>
      <c r="H64" s="38"/>
      <c r="I64" s="38"/>
      <c r="J64" s="38">
        <f t="shared" si="9"/>
        <v>5208</v>
      </c>
      <c r="K64" s="38">
        <f t="shared" si="9"/>
        <v>0</v>
      </c>
      <c r="L64" s="38">
        <f t="shared" si="9"/>
        <v>0.90004079967360262</v>
      </c>
      <c r="M64" s="38">
        <f t="shared" si="9"/>
        <v>4687</v>
      </c>
      <c r="N64" s="38">
        <f t="shared" si="9"/>
        <v>0</v>
      </c>
      <c r="O64" s="38"/>
      <c r="P64" s="38"/>
      <c r="Q64" s="38">
        <f t="shared" si="9"/>
        <v>3707</v>
      </c>
      <c r="R64" s="38" t="e">
        <f t="shared" si="9"/>
        <v>#DIV/0!</v>
      </c>
      <c r="S64" s="38"/>
      <c r="T64" s="38"/>
      <c r="U64" s="38">
        <f t="shared" si="9"/>
        <v>2328</v>
      </c>
      <c r="V64" s="38"/>
      <c r="W64" s="38"/>
      <c r="X64" s="38"/>
      <c r="Y64" s="38">
        <f t="shared" si="9"/>
        <v>2206</v>
      </c>
      <c r="Z64" s="38"/>
      <c r="AA64" s="38"/>
      <c r="AB64" s="38"/>
      <c r="AC64" s="14">
        <f t="shared" si="9"/>
        <v>2665</v>
      </c>
      <c r="AD64" s="14"/>
      <c r="AE64" s="14"/>
      <c r="AF64" s="14"/>
      <c r="AG64" s="14">
        <f t="shared" si="9"/>
        <v>3768</v>
      </c>
      <c r="AH64" s="14"/>
      <c r="AI64" s="14"/>
      <c r="AJ64" s="14"/>
      <c r="AK64" s="14">
        <f t="shared" si="9"/>
        <v>4044</v>
      </c>
      <c r="AL64" s="14"/>
      <c r="AM64" s="14"/>
      <c r="AN64" s="14"/>
      <c r="AO64" s="14">
        <f t="shared" si="9"/>
        <v>4197</v>
      </c>
      <c r="AP64" s="14"/>
      <c r="AQ64" s="14"/>
      <c r="AR64" s="14"/>
      <c r="AS64" s="14">
        <f t="shared" si="9"/>
        <v>4227</v>
      </c>
    </row>
    <row r="65" spans="1:48" x14ac:dyDescent="0.25">
      <c r="A65" s="78" t="s">
        <v>37</v>
      </c>
      <c r="B65" s="72" t="s">
        <v>19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4"/>
      <c r="AV65" s="23"/>
    </row>
    <row r="66" spans="1:48" x14ac:dyDescent="0.25">
      <c r="A66" s="79"/>
      <c r="B66" s="35" t="s">
        <v>14</v>
      </c>
      <c r="C66" s="35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21"/>
      <c r="AV66" s="23"/>
    </row>
    <row r="67" spans="1:48" x14ac:dyDescent="0.25">
      <c r="A67" s="79"/>
      <c r="B67" s="35" t="s">
        <v>15</v>
      </c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21"/>
      <c r="AV67" s="23"/>
    </row>
    <row r="68" spans="1:48" x14ac:dyDescent="0.25">
      <c r="A68" s="79"/>
      <c r="B68" s="35" t="s">
        <v>16</v>
      </c>
      <c r="C68" s="35">
        <v>1.0869565217391304</v>
      </c>
      <c r="D68" s="36">
        <f>C68*'2021'!AG68</f>
        <v>0</v>
      </c>
      <c r="E68" s="36"/>
      <c r="F68" s="36">
        <v>0</v>
      </c>
      <c r="G68" s="36">
        <f t="shared" ref="G68:G69" si="10">F68*D68</f>
        <v>0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21"/>
      <c r="AV68" s="23"/>
    </row>
    <row r="69" spans="1:48" x14ac:dyDescent="0.25">
      <c r="A69" s="79"/>
      <c r="B69" s="35" t="s">
        <v>17</v>
      </c>
      <c r="C69" s="35">
        <v>1.6014281077572217</v>
      </c>
      <c r="D69" s="36">
        <f>C69*'2021'!AG69</f>
        <v>0</v>
      </c>
      <c r="E69" s="36"/>
      <c r="F69" s="36">
        <v>0.70125658694770976</v>
      </c>
      <c r="G69" s="36">
        <f t="shared" si="10"/>
        <v>0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V69" s="23"/>
    </row>
    <row r="70" spans="1:48" x14ac:dyDescent="0.25">
      <c r="A70" s="79"/>
      <c r="B70" s="72" t="s">
        <v>20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4"/>
    </row>
    <row r="71" spans="1:48" x14ac:dyDescent="0.25">
      <c r="A71" s="79"/>
      <c r="B71" s="40"/>
      <c r="C71" s="4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21"/>
    </row>
    <row r="72" spans="1:48" x14ac:dyDescent="0.25">
      <c r="A72" s="76" t="s">
        <v>18</v>
      </c>
      <c r="B72" s="77"/>
      <c r="C72" s="53"/>
      <c r="D72" s="38">
        <f>SUM(D66:D69,D71)</f>
        <v>0</v>
      </c>
      <c r="E72" s="38"/>
      <c r="F72" s="38"/>
      <c r="G72" s="38">
        <f t="shared" ref="G72:AS72" si="11">SUM(G66:G69,G71)</f>
        <v>0</v>
      </c>
      <c r="H72" s="38"/>
      <c r="I72" s="38"/>
      <c r="J72" s="38">
        <f t="shared" si="11"/>
        <v>0</v>
      </c>
      <c r="K72" s="38"/>
      <c r="L72" s="38"/>
      <c r="M72" s="38">
        <f t="shared" si="11"/>
        <v>0</v>
      </c>
      <c r="N72" s="38">
        <f t="shared" si="11"/>
        <v>0</v>
      </c>
      <c r="O72" s="38"/>
      <c r="P72" s="38"/>
      <c r="Q72" s="38">
        <f t="shared" si="11"/>
        <v>0</v>
      </c>
      <c r="R72" s="38">
        <f t="shared" si="11"/>
        <v>0</v>
      </c>
      <c r="S72" s="38"/>
      <c r="T72" s="38"/>
      <c r="U72" s="38">
        <f t="shared" si="11"/>
        <v>0</v>
      </c>
      <c r="V72" s="38"/>
      <c r="W72" s="38"/>
      <c r="X72" s="38"/>
      <c r="Y72" s="38">
        <f t="shared" si="11"/>
        <v>0</v>
      </c>
      <c r="Z72" s="38"/>
      <c r="AA72" s="38"/>
      <c r="AB72" s="38"/>
      <c r="AC72" s="14">
        <f t="shared" si="11"/>
        <v>0</v>
      </c>
      <c r="AD72" s="14"/>
      <c r="AE72" s="14"/>
      <c r="AF72" s="14"/>
      <c r="AG72" s="14">
        <f t="shared" si="11"/>
        <v>0</v>
      </c>
      <c r="AH72" s="14"/>
      <c r="AI72" s="14"/>
      <c r="AJ72" s="14"/>
      <c r="AK72" s="14">
        <f t="shared" si="11"/>
        <v>0</v>
      </c>
      <c r="AL72" s="14"/>
      <c r="AM72" s="14"/>
      <c r="AN72" s="14"/>
      <c r="AO72" s="14">
        <f t="shared" si="11"/>
        <v>0</v>
      </c>
      <c r="AP72" s="14"/>
      <c r="AQ72" s="14"/>
      <c r="AR72" s="14"/>
      <c r="AS72" s="14">
        <f t="shared" si="11"/>
        <v>0</v>
      </c>
    </row>
    <row r="73" spans="1:48" x14ac:dyDescent="0.25">
      <c r="A73" s="78" t="s">
        <v>51</v>
      </c>
      <c r="B73" s="72" t="s">
        <v>19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4"/>
    </row>
    <row r="74" spans="1:48" x14ac:dyDescent="0.25">
      <c r="A74" s="79"/>
      <c r="B74" s="35" t="s">
        <v>14</v>
      </c>
      <c r="C74" s="35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21"/>
    </row>
    <row r="75" spans="1:48" x14ac:dyDescent="0.25">
      <c r="A75" s="79"/>
      <c r="B75" s="35" t="s">
        <v>15</v>
      </c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21"/>
    </row>
    <row r="76" spans="1:48" x14ac:dyDescent="0.25">
      <c r="A76" s="79"/>
      <c r="B76" s="35" t="s">
        <v>16</v>
      </c>
      <c r="C76" s="35">
        <v>1.0869565217391304</v>
      </c>
      <c r="D76" s="36">
        <v>25997</v>
      </c>
      <c r="E76" s="36"/>
      <c r="F76" s="36"/>
      <c r="G76" s="36">
        <v>24235</v>
      </c>
      <c r="H76" s="36"/>
      <c r="I76" s="36"/>
      <c r="J76" s="36">
        <v>21330</v>
      </c>
      <c r="K76" s="36"/>
      <c r="L76" s="36"/>
      <c r="M76" s="36">
        <v>21252</v>
      </c>
      <c r="N76" s="36"/>
      <c r="O76" s="36"/>
      <c r="P76" s="36"/>
      <c r="Q76" s="36">
        <v>15554</v>
      </c>
      <c r="R76" s="36"/>
      <c r="S76" s="36"/>
      <c r="T76" s="36">
        <f>Q76/M76</f>
        <v>0.73188405797101452</v>
      </c>
      <c r="U76" s="36">
        <v>11016</v>
      </c>
      <c r="V76" s="36"/>
      <c r="W76" s="36"/>
      <c r="X76" s="36">
        <f>U76/Q76</f>
        <v>0.70824225279670827</v>
      </c>
      <c r="Y76" s="36">
        <v>9800</v>
      </c>
      <c r="Z76" s="36"/>
      <c r="AA76" s="36"/>
      <c r="AB76" s="36">
        <f>Y76/U76</f>
        <v>0.88961510530137977</v>
      </c>
      <c r="AC76" s="13">
        <v>11317</v>
      </c>
      <c r="AD76" s="13"/>
      <c r="AE76" s="13"/>
      <c r="AF76" s="13">
        <f>AC76/Y76</f>
        <v>1.1547959183673469</v>
      </c>
      <c r="AG76" s="13">
        <v>13026</v>
      </c>
      <c r="AH76" s="13"/>
      <c r="AI76" s="13"/>
      <c r="AJ76" s="13">
        <f>AG76/AC76</f>
        <v>1.1510117522311567</v>
      </c>
      <c r="AK76" s="13">
        <v>26013</v>
      </c>
      <c r="AL76" s="13"/>
      <c r="AM76" s="13"/>
      <c r="AN76" s="13">
        <f>AK76/AG76</f>
        <v>1.9970059880239521</v>
      </c>
      <c r="AO76" s="13">
        <v>24184</v>
      </c>
      <c r="AP76" s="13"/>
      <c r="AQ76" s="13"/>
      <c r="AR76" s="13">
        <f>AO76/AK76</f>
        <v>0.9296890016530196</v>
      </c>
      <c r="AS76" s="13">
        <v>22472</v>
      </c>
    </row>
    <row r="77" spans="1:48" x14ac:dyDescent="0.25">
      <c r="A77" s="79"/>
      <c r="B77" s="35" t="s">
        <v>17</v>
      </c>
      <c r="C77" s="35">
        <v>1.6014281077572217</v>
      </c>
      <c r="D77" s="36">
        <f>C77*'2021'!AG77</f>
        <v>0</v>
      </c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</row>
    <row r="78" spans="1:48" x14ac:dyDescent="0.25">
      <c r="A78" s="79"/>
      <c r="B78" s="72" t="s">
        <v>20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</row>
    <row r="79" spans="1:48" x14ac:dyDescent="0.25">
      <c r="A79" s="79"/>
      <c r="B79" s="40"/>
      <c r="C79" s="4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21"/>
    </row>
    <row r="80" spans="1:48" x14ac:dyDescent="0.25">
      <c r="A80" s="76" t="s">
        <v>18</v>
      </c>
      <c r="B80" s="77"/>
      <c r="C80" s="55"/>
      <c r="D80" s="38">
        <f>SUM(D74:D77,D79)</f>
        <v>25997</v>
      </c>
      <c r="E80" s="38"/>
      <c r="F80" s="38"/>
      <c r="G80" s="38">
        <f t="shared" ref="G80" si="12">SUM(G74:G77,G79)</f>
        <v>24235</v>
      </c>
      <c r="H80" s="38"/>
      <c r="I80" s="38"/>
      <c r="J80" s="38">
        <f t="shared" ref="J80" si="13">SUM(J74:J77,J79)</f>
        <v>21330</v>
      </c>
      <c r="K80" s="38"/>
      <c r="L80" s="38"/>
      <c r="M80" s="38">
        <f t="shared" ref="M80:N80" si="14">SUM(M74:M77,M79)</f>
        <v>21252</v>
      </c>
      <c r="N80" s="38">
        <f t="shared" si="14"/>
        <v>0</v>
      </c>
      <c r="O80" s="38"/>
      <c r="P80" s="38"/>
      <c r="Q80" s="38">
        <f t="shared" ref="Q80:R80" si="15">SUM(Q74:Q77,Q79)</f>
        <v>15554</v>
      </c>
      <c r="R80" s="38">
        <f t="shared" si="15"/>
        <v>0</v>
      </c>
      <c r="S80" s="38"/>
      <c r="T80" s="38"/>
      <c r="U80" s="38">
        <f t="shared" ref="U80" si="16">SUM(U74:U77,U79)</f>
        <v>11016</v>
      </c>
      <c r="V80" s="38"/>
      <c r="W80" s="38"/>
      <c r="X80" s="38"/>
      <c r="Y80" s="38">
        <f t="shared" ref="Y80" si="17">SUM(Y74:Y77,Y79)</f>
        <v>9800</v>
      </c>
      <c r="Z80" s="38"/>
      <c r="AA80" s="38"/>
      <c r="AB80" s="38"/>
      <c r="AC80" s="14">
        <f t="shared" ref="AC80" si="18">SUM(AC74:AC77,AC79)</f>
        <v>11317</v>
      </c>
      <c r="AD80" s="14"/>
      <c r="AE80" s="14"/>
      <c r="AF80" s="14"/>
      <c r="AG80" s="14">
        <f t="shared" ref="AG80" si="19">SUM(AG74:AG77,AG79)</f>
        <v>13026</v>
      </c>
      <c r="AH80" s="14"/>
      <c r="AI80" s="14"/>
      <c r="AJ80" s="14"/>
      <c r="AK80" s="14">
        <f t="shared" ref="AK80" si="20">SUM(AK74:AK77,AK79)</f>
        <v>26013</v>
      </c>
      <c r="AL80" s="14"/>
      <c r="AM80" s="14"/>
      <c r="AN80" s="14"/>
      <c r="AO80" s="14">
        <f t="shared" ref="AO80" si="21">SUM(AO74:AO77,AO79)</f>
        <v>24184</v>
      </c>
      <c r="AP80" s="14"/>
      <c r="AQ80" s="14"/>
      <c r="AR80" s="14"/>
      <c r="AS80" s="14">
        <f t="shared" ref="AS80" si="22">SUM(AS74:AS77,AS79)</f>
        <v>22472</v>
      </c>
    </row>
    <row r="81" spans="1:45" x14ac:dyDescent="0.25">
      <c r="A81" s="78" t="s">
        <v>52</v>
      </c>
      <c r="B81" s="72" t="s">
        <v>19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4"/>
    </row>
    <row r="82" spans="1:45" x14ac:dyDescent="0.25">
      <c r="A82" s="79"/>
      <c r="B82" s="35" t="s">
        <v>14</v>
      </c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21"/>
    </row>
    <row r="83" spans="1:45" x14ac:dyDescent="0.25">
      <c r="A83" s="79"/>
      <c r="B83" s="35" t="s">
        <v>15</v>
      </c>
      <c r="C83" s="35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21"/>
    </row>
    <row r="84" spans="1:45" x14ac:dyDescent="0.25">
      <c r="A84" s="79"/>
      <c r="B84" s="35" t="s">
        <v>16</v>
      </c>
      <c r="C84" s="35">
        <v>1.0869565217391304</v>
      </c>
      <c r="D84" s="36">
        <v>14033</v>
      </c>
      <c r="E84" s="36"/>
      <c r="F84" s="36"/>
      <c r="G84" s="36">
        <v>14975</v>
      </c>
      <c r="H84" s="36"/>
      <c r="I84" s="36"/>
      <c r="J84" s="36">
        <v>14998</v>
      </c>
      <c r="K84" s="36"/>
      <c r="L84" s="36"/>
      <c r="M84" s="36">
        <v>13275</v>
      </c>
      <c r="N84" s="36"/>
      <c r="O84" s="36"/>
      <c r="P84" s="36"/>
      <c r="Q84" s="36">
        <v>12688</v>
      </c>
      <c r="R84" s="36"/>
      <c r="S84" s="36"/>
      <c r="T84" s="36">
        <f>Q84/M84</f>
        <v>0.9557815442561205</v>
      </c>
      <c r="U84" s="36">
        <v>10999</v>
      </c>
      <c r="V84" s="36"/>
      <c r="W84" s="36"/>
      <c r="X84" s="36">
        <f>U84/Q84</f>
        <v>0.86688209331651955</v>
      </c>
      <c r="Y84" s="36">
        <v>12723</v>
      </c>
      <c r="Z84" s="36"/>
      <c r="AA84" s="36"/>
      <c r="AB84" s="36">
        <f>Y84/U84</f>
        <v>1.1567415219565416</v>
      </c>
      <c r="AC84" s="13">
        <v>12517</v>
      </c>
      <c r="AD84" s="13"/>
      <c r="AE84" s="13"/>
      <c r="AF84" s="13">
        <f>AC84/Y84</f>
        <v>0.98380885011396679</v>
      </c>
      <c r="AG84" s="13">
        <v>12067</v>
      </c>
      <c r="AH84" s="13"/>
      <c r="AI84" s="13"/>
      <c r="AJ84" s="13">
        <f>AG84/AC84</f>
        <v>0.96404889350483347</v>
      </c>
      <c r="AK84" s="13">
        <v>13670</v>
      </c>
      <c r="AL84" s="13"/>
      <c r="AM84" s="13"/>
      <c r="AN84" s="13">
        <f>AK84/AG84</f>
        <v>1.1328416342089997</v>
      </c>
      <c r="AO84" s="13">
        <v>15292</v>
      </c>
      <c r="AP84" s="13"/>
      <c r="AQ84" s="13"/>
      <c r="AR84" s="13">
        <f>AO84/AK84</f>
        <v>1.1186539868324799</v>
      </c>
      <c r="AS84" s="13">
        <v>19857</v>
      </c>
    </row>
    <row r="85" spans="1:45" x14ac:dyDescent="0.25">
      <c r="A85" s="79"/>
      <c r="B85" s="35" t="s">
        <v>17</v>
      </c>
      <c r="C85" s="35">
        <v>1.6014281077572217</v>
      </c>
      <c r="D85" s="36">
        <f>C85*'2021'!AG85</f>
        <v>0</v>
      </c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</row>
    <row r="86" spans="1:45" x14ac:dyDescent="0.25">
      <c r="A86" s="79"/>
      <c r="B86" s="72" t="s">
        <v>20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4"/>
    </row>
    <row r="87" spans="1:45" x14ac:dyDescent="0.25">
      <c r="A87" s="79"/>
      <c r="B87" s="40"/>
      <c r="C87" s="4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21"/>
    </row>
    <row r="88" spans="1:45" x14ac:dyDescent="0.25">
      <c r="A88" s="76" t="s">
        <v>18</v>
      </c>
      <c r="B88" s="77"/>
      <c r="C88" s="55"/>
      <c r="D88" s="38">
        <f>SUM(D82:D85,D87)</f>
        <v>14033</v>
      </c>
      <c r="E88" s="38"/>
      <c r="F88" s="38"/>
      <c r="G88" s="38">
        <f t="shared" ref="G88" si="23">SUM(G82:G85,G87)</f>
        <v>14975</v>
      </c>
      <c r="H88" s="38"/>
      <c r="I88" s="38"/>
      <c r="J88" s="38">
        <f t="shared" ref="J88" si="24">SUM(J82:J85,J87)</f>
        <v>14998</v>
      </c>
      <c r="K88" s="38"/>
      <c r="L88" s="38"/>
      <c r="M88" s="38">
        <f t="shared" ref="M88:N88" si="25">SUM(M82:M85,M87)</f>
        <v>13275</v>
      </c>
      <c r="N88" s="38">
        <f t="shared" si="25"/>
        <v>0</v>
      </c>
      <c r="O88" s="38"/>
      <c r="P88" s="38"/>
      <c r="Q88" s="38">
        <f t="shared" ref="Q88:R88" si="26">SUM(Q82:Q85,Q87)</f>
        <v>12688</v>
      </c>
      <c r="R88" s="38">
        <f t="shared" si="26"/>
        <v>0</v>
      </c>
      <c r="S88" s="38"/>
      <c r="T88" s="38"/>
      <c r="U88" s="38">
        <f t="shared" ref="U88" si="27">SUM(U82:U85,U87)</f>
        <v>10999</v>
      </c>
      <c r="V88" s="38"/>
      <c r="W88" s="38"/>
      <c r="X88" s="38"/>
      <c r="Y88" s="38">
        <f t="shared" ref="Y88" si="28">SUM(Y82:Y85,Y87)</f>
        <v>12723</v>
      </c>
      <c r="Z88" s="38"/>
      <c r="AA88" s="38"/>
      <c r="AB88" s="38"/>
      <c r="AC88" s="14">
        <f t="shared" ref="AC88" si="29">SUM(AC82:AC85,AC87)</f>
        <v>12517</v>
      </c>
      <c r="AD88" s="14"/>
      <c r="AE88" s="14"/>
      <c r="AF88" s="14"/>
      <c r="AG88" s="14">
        <f t="shared" ref="AG88" si="30">SUM(AG82:AG85,AG87)</f>
        <v>12067</v>
      </c>
      <c r="AH88" s="14"/>
      <c r="AI88" s="14"/>
      <c r="AJ88" s="14"/>
      <c r="AK88" s="14">
        <f t="shared" ref="AK88" si="31">SUM(AK82:AK85,AK87)</f>
        <v>13670</v>
      </c>
      <c r="AL88" s="14"/>
      <c r="AM88" s="14"/>
      <c r="AN88" s="14"/>
      <c r="AO88" s="14">
        <f t="shared" ref="AO88" si="32">SUM(AO82:AO85,AO87)</f>
        <v>15292</v>
      </c>
      <c r="AP88" s="14"/>
      <c r="AQ88" s="14"/>
      <c r="AR88" s="14"/>
      <c r="AS88" s="14">
        <f t="shared" ref="AS88" si="33">SUM(AS82:AS85,AS87)</f>
        <v>19857</v>
      </c>
    </row>
    <row r="106" spans="37:37" x14ac:dyDescent="0.25">
      <c r="AK106" s="23"/>
    </row>
  </sheetData>
  <mergeCells count="41">
    <mergeCell ref="A15:A21"/>
    <mergeCell ref="B15:AS15"/>
    <mergeCell ref="B20:AS20"/>
    <mergeCell ref="A2:AS2"/>
    <mergeCell ref="A4:A10"/>
    <mergeCell ref="B4:AS4"/>
    <mergeCell ref="B9:AS9"/>
    <mergeCell ref="A14:B14"/>
    <mergeCell ref="A49:A55"/>
    <mergeCell ref="B49:AS49"/>
    <mergeCell ref="B54:AS54"/>
    <mergeCell ref="A23:B23"/>
    <mergeCell ref="A24:A30"/>
    <mergeCell ref="B24:AS24"/>
    <mergeCell ref="B29:AS29"/>
    <mergeCell ref="A32:B32"/>
    <mergeCell ref="A33:A39"/>
    <mergeCell ref="B33:AS33"/>
    <mergeCell ref="B38:AS38"/>
    <mergeCell ref="A40:B40"/>
    <mergeCell ref="A41:A47"/>
    <mergeCell ref="B41:AS41"/>
    <mergeCell ref="B46:AS46"/>
    <mergeCell ref="A48:B48"/>
    <mergeCell ref="A72:B72"/>
    <mergeCell ref="A56:B56"/>
    <mergeCell ref="A57:A63"/>
    <mergeCell ref="B57:AS57"/>
    <mergeCell ref="B62:AS62"/>
    <mergeCell ref="A64:B64"/>
    <mergeCell ref="A65:A71"/>
    <mergeCell ref="B65:AS65"/>
    <mergeCell ref="B70:AS70"/>
    <mergeCell ref="A88:B88"/>
    <mergeCell ref="A73:A79"/>
    <mergeCell ref="B73:AS73"/>
    <mergeCell ref="B78:AS78"/>
    <mergeCell ref="A80:B80"/>
    <mergeCell ref="A81:A87"/>
    <mergeCell ref="B81:AS81"/>
    <mergeCell ref="B86:AS8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8" sqref="A88:B88"/>
    </sheetView>
  </sheetViews>
  <sheetFormatPr defaultRowHeight="15" x14ac:dyDescent="0.25"/>
  <cols>
    <col min="1" max="1" width="22.28515625" style="42" customWidth="1"/>
    <col min="2" max="2" width="10.28515625" style="42" customWidth="1"/>
    <col min="3" max="3" width="14.85546875" style="42" customWidth="1"/>
    <col min="4" max="4" width="14.7109375" style="52" customWidth="1"/>
    <col min="5" max="5" width="14.7109375" style="42" customWidth="1"/>
    <col min="6" max="6" width="16" style="42" customWidth="1"/>
    <col min="7" max="7" width="14.5703125" style="42" customWidth="1"/>
    <col min="8" max="8" width="16.140625" style="42" customWidth="1"/>
    <col min="9" max="9" width="16.7109375" style="42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6" max="16" width="11.42578125" bestFit="1" customWidth="1"/>
    <col min="17" max="17" width="11.28515625" customWidth="1"/>
  </cols>
  <sheetData>
    <row r="1" spans="1:17" x14ac:dyDescent="0.25">
      <c r="A1" s="31"/>
      <c r="B1" s="31"/>
      <c r="C1" s="31"/>
      <c r="D1" s="31"/>
      <c r="E1" s="31"/>
      <c r="F1" s="31"/>
      <c r="G1" s="31"/>
      <c r="H1" s="31"/>
      <c r="I1" s="31"/>
      <c r="J1" s="16"/>
      <c r="K1" s="16"/>
      <c r="L1" s="16"/>
      <c r="M1" s="16"/>
      <c r="N1" s="16"/>
    </row>
    <row r="2" spans="1:17" x14ac:dyDescent="0.25">
      <c r="A2" s="75" t="s">
        <v>53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42.75" x14ac:dyDescent="0.25">
      <c r="A3" s="32" t="s">
        <v>0</v>
      </c>
      <c r="B3" s="33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7" x14ac:dyDescent="0.25">
      <c r="A4" s="78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7" x14ac:dyDescent="0.25">
      <c r="A5" s="79"/>
      <c r="B5" s="35" t="s">
        <v>14</v>
      </c>
      <c r="C5" s="36">
        <v>105819340</v>
      </c>
      <c r="D5" s="36">
        <f>94931600+760803</f>
        <v>95692403</v>
      </c>
      <c r="E5" s="36">
        <f>102473909+826230</f>
        <v>103300139</v>
      </c>
      <c r="F5" s="36">
        <v>96222628</v>
      </c>
      <c r="G5" s="36">
        <v>89258248</v>
      </c>
      <c r="H5" s="36">
        <v>82869613</v>
      </c>
      <c r="I5" s="36">
        <v>82809821</v>
      </c>
      <c r="J5" s="13">
        <v>81138915</v>
      </c>
      <c r="K5" s="13">
        <v>78376656</v>
      </c>
      <c r="L5" s="13">
        <v>88757400</v>
      </c>
      <c r="M5" s="13">
        <v>92185210</v>
      </c>
      <c r="N5" s="13">
        <v>99596741</v>
      </c>
      <c r="Q5" s="23"/>
    </row>
    <row r="6" spans="1:17" x14ac:dyDescent="0.25">
      <c r="A6" s="79"/>
      <c r="B6" s="35" t="s">
        <v>15</v>
      </c>
      <c r="C6" s="36">
        <v>24291807</v>
      </c>
      <c r="D6" s="36">
        <v>20754108</v>
      </c>
      <c r="E6" s="36">
        <v>21234564</v>
      </c>
      <c r="F6" s="36">
        <v>19043449</v>
      </c>
      <c r="G6" s="36">
        <v>18434797</v>
      </c>
      <c r="H6" s="36">
        <v>16173526</v>
      </c>
      <c r="I6" s="36">
        <v>16121012</v>
      </c>
      <c r="J6" s="13">
        <v>17401953</v>
      </c>
      <c r="K6" s="13">
        <v>16820306</v>
      </c>
      <c r="L6" s="13">
        <v>18854752</v>
      </c>
      <c r="M6" s="13">
        <v>20719792</v>
      </c>
      <c r="N6" s="13">
        <v>20627441</v>
      </c>
      <c r="Q6" s="23"/>
    </row>
    <row r="7" spans="1:17" x14ac:dyDescent="0.25">
      <c r="A7" s="79"/>
      <c r="B7" s="35" t="s">
        <v>16</v>
      </c>
      <c r="C7" s="36">
        <v>31213</v>
      </c>
      <c r="D7" s="36">
        <v>27880</v>
      </c>
      <c r="E7" s="36">
        <v>27962</v>
      </c>
      <c r="F7" s="36">
        <v>2793</v>
      </c>
      <c r="G7" s="36">
        <v>12229</v>
      </c>
      <c r="H7" s="36">
        <v>35111</v>
      </c>
      <c r="I7" s="36">
        <v>36583</v>
      </c>
      <c r="J7" s="13">
        <v>36526</v>
      </c>
      <c r="K7" s="13">
        <v>4759</v>
      </c>
      <c r="L7" s="13">
        <v>4374</v>
      </c>
      <c r="M7" s="13">
        <v>11260</v>
      </c>
      <c r="N7" s="13">
        <v>29777</v>
      </c>
      <c r="Q7" s="23"/>
    </row>
    <row r="8" spans="1:17" x14ac:dyDescent="0.25">
      <c r="A8" s="79"/>
      <c r="B8" s="35" t="s">
        <v>17</v>
      </c>
      <c r="C8" s="36">
        <v>530</v>
      </c>
      <c r="D8" s="36">
        <f>81+394</f>
        <v>475</v>
      </c>
      <c r="E8" s="36">
        <f>85+333</f>
        <v>418</v>
      </c>
      <c r="F8" s="36">
        <v>350</v>
      </c>
      <c r="G8" s="36">
        <v>305</v>
      </c>
      <c r="H8" s="36">
        <v>231</v>
      </c>
      <c r="I8" s="36">
        <v>219</v>
      </c>
      <c r="J8" s="13">
        <v>262</v>
      </c>
      <c r="K8" s="13">
        <v>350</v>
      </c>
      <c r="L8" s="13">
        <v>443</v>
      </c>
      <c r="M8" s="13">
        <v>508</v>
      </c>
      <c r="N8" s="13">
        <v>555</v>
      </c>
      <c r="Q8" s="23"/>
    </row>
    <row r="9" spans="1:17" x14ac:dyDescent="0.25">
      <c r="A9" s="79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  <c r="Q9" s="23"/>
    </row>
    <row r="10" spans="1:17" x14ac:dyDescent="0.25">
      <c r="A10" s="79"/>
      <c r="B10" s="35" t="s">
        <v>14</v>
      </c>
      <c r="C10" s="36"/>
      <c r="D10" s="36"/>
      <c r="E10" s="36"/>
      <c r="F10" s="36"/>
      <c r="G10" s="36"/>
      <c r="H10" s="36"/>
      <c r="I10" s="36"/>
      <c r="J10" s="13"/>
      <c r="K10" s="13"/>
      <c r="L10" s="13"/>
      <c r="M10" s="13"/>
      <c r="N10" s="13"/>
      <c r="Q10" s="23"/>
    </row>
    <row r="11" spans="1:17" x14ac:dyDescent="0.25">
      <c r="A11" s="56"/>
      <c r="B11" s="35" t="s">
        <v>15</v>
      </c>
      <c r="C11" s="36"/>
      <c r="D11" s="36"/>
      <c r="E11" s="36"/>
      <c r="F11" s="36"/>
      <c r="G11" s="36"/>
      <c r="H11" s="36"/>
      <c r="I11" s="36"/>
      <c r="J11" s="13"/>
      <c r="K11" s="13"/>
      <c r="L11" s="13"/>
      <c r="M11" s="13"/>
      <c r="N11" s="13"/>
      <c r="Q11" s="23"/>
    </row>
    <row r="12" spans="1:17" x14ac:dyDescent="0.25">
      <c r="A12" s="56"/>
      <c r="B12" s="35" t="s">
        <v>46</v>
      </c>
      <c r="C12" s="36"/>
      <c r="D12" s="36"/>
      <c r="E12" s="36"/>
      <c r="F12" s="36"/>
      <c r="G12" s="36"/>
      <c r="H12" s="36"/>
      <c r="I12" s="36"/>
      <c r="J12" s="13"/>
      <c r="K12" s="13"/>
      <c r="L12" s="13"/>
      <c r="M12" s="13"/>
      <c r="N12" s="13"/>
      <c r="Q12" s="23"/>
    </row>
    <row r="13" spans="1:17" x14ac:dyDescent="0.25">
      <c r="A13" s="56"/>
      <c r="B13" s="35" t="s">
        <v>17</v>
      </c>
      <c r="C13" s="36"/>
      <c r="D13" s="36">
        <v>1999</v>
      </c>
      <c r="E13" s="36">
        <v>2336</v>
      </c>
      <c r="F13" s="36">
        <v>4722</v>
      </c>
      <c r="G13" s="36">
        <v>528</v>
      </c>
      <c r="H13" s="36">
        <v>688</v>
      </c>
      <c r="I13" s="36">
        <v>672</v>
      </c>
      <c r="J13" s="13">
        <v>816</v>
      </c>
      <c r="K13" s="13">
        <v>761</v>
      </c>
      <c r="L13" s="13">
        <v>898</v>
      </c>
      <c r="M13" s="13">
        <v>786</v>
      </c>
      <c r="N13" s="13">
        <v>664</v>
      </c>
      <c r="Q13" s="23"/>
    </row>
    <row r="14" spans="1:17" x14ac:dyDescent="0.25">
      <c r="A14" s="76" t="s">
        <v>18</v>
      </c>
      <c r="B14" s="77"/>
      <c r="C14" s="38">
        <f>SUM(C5:C8,C10:C13)</f>
        <v>130142890</v>
      </c>
      <c r="D14" s="38">
        <f t="shared" ref="D14:N14" si="0">SUM(D5:D8,D10:D13)</f>
        <v>116476865</v>
      </c>
      <c r="E14" s="38">
        <f t="shared" si="0"/>
        <v>124565419</v>
      </c>
      <c r="F14" s="38">
        <f t="shared" si="0"/>
        <v>115273942</v>
      </c>
      <c r="G14" s="38">
        <f t="shared" si="0"/>
        <v>107706107</v>
      </c>
      <c r="H14" s="38">
        <f t="shared" si="0"/>
        <v>99079169</v>
      </c>
      <c r="I14" s="38">
        <f t="shared" si="0"/>
        <v>98968307</v>
      </c>
      <c r="J14" s="38">
        <f t="shared" si="0"/>
        <v>98578472</v>
      </c>
      <c r="K14" s="38">
        <f t="shared" si="0"/>
        <v>95202832</v>
      </c>
      <c r="L14" s="38">
        <f t="shared" si="0"/>
        <v>107617867</v>
      </c>
      <c r="M14" s="38">
        <f t="shared" si="0"/>
        <v>112917556</v>
      </c>
      <c r="N14" s="38">
        <f t="shared" si="0"/>
        <v>120255178</v>
      </c>
      <c r="P14" s="23"/>
      <c r="Q14" s="23"/>
    </row>
    <row r="15" spans="1:17" hidden="1" x14ac:dyDescent="0.25">
      <c r="A15" s="78" t="s">
        <v>25</v>
      </c>
      <c r="B15" s="72" t="s">
        <v>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Q15" s="23"/>
    </row>
    <row r="16" spans="1:17" hidden="1" x14ac:dyDescent="0.25">
      <c r="A16" s="79"/>
      <c r="B16" s="35" t="s">
        <v>14</v>
      </c>
      <c r="C16" s="36"/>
      <c r="D16" s="36"/>
      <c r="E16" s="36"/>
      <c r="F16" s="36"/>
      <c r="G16" s="36"/>
      <c r="H16" s="36"/>
      <c r="I16" s="36"/>
      <c r="J16" s="13"/>
      <c r="K16" s="13"/>
      <c r="L16" s="13"/>
      <c r="M16" s="13"/>
      <c r="N16" s="13"/>
      <c r="Q16" s="23"/>
    </row>
    <row r="17" spans="1:17" hidden="1" x14ac:dyDescent="0.25">
      <c r="A17" s="79"/>
      <c r="B17" s="35" t="s">
        <v>15</v>
      </c>
      <c r="C17" s="36"/>
      <c r="D17" s="36"/>
      <c r="E17" s="36"/>
      <c r="F17" s="36"/>
      <c r="G17" s="36"/>
      <c r="H17" s="36"/>
      <c r="I17" s="36"/>
      <c r="J17" s="13"/>
      <c r="K17" s="13"/>
      <c r="L17" s="13"/>
      <c r="M17" s="13"/>
      <c r="N17" s="13"/>
      <c r="Q17" s="23"/>
    </row>
    <row r="18" spans="1:17" hidden="1" x14ac:dyDescent="0.25">
      <c r="A18" s="79"/>
      <c r="B18" s="35" t="s">
        <v>16</v>
      </c>
      <c r="C18" s="36"/>
      <c r="D18" s="36"/>
      <c r="E18" s="36"/>
      <c r="F18" s="36"/>
      <c r="G18" s="36"/>
      <c r="H18" s="36"/>
      <c r="I18" s="36"/>
      <c r="J18" s="13"/>
      <c r="K18" s="13"/>
      <c r="L18" s="13"/>
      <c r="M18" s="13"/>
      <c r="N18" s="13"/>
      <c r="Q18" s="23"/>
    </row>
    <row r="19" spans="1:17" hidden="1" x14ac:dyDescent="0.25">
      <c r="A19" s="79"/>
      <c r="B19" s="35" t="s">
        <v>17</v>
      </c>
      <c r="C19" s="36"/>
      <c r="D19" s="36"/>
      <c r="E19" s="36"/>
      <c r="F19" s="36"/>
      <c r="G19" s="36"/>
      <c r="H19" s="36"/>
      <c r="I19" s="36"/>
      <c r="J19" s="13"/>
      <c r="K19" s="13"/>
      <c r="L19" s="13"/>
      <c r="M19" s="13"/>
      <c r="N19" s="13"/>
      <c r="Q19" s="23"/>
    </row>
    <row r="20" spans="1:17" hidden="1" x14ac:dyDescent="0.25">
      <c r="A20" s="79"/>
      <c r="B20" s="72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  <c r="Q20" s="23"/>
    </row>
    <row r="21" spans="1:17" hidden="1" x14ac:dyDescent="0.25">
      <c r="A21" s="80"/>
      <c r="B21" s="39" t="s">
        <v>16</v>
      </c>
      <c r="C21" s="36"/>
      <c r="D21" s="36"/>
      <c r="E21" s="36"/>
      <c r="F21" s="36"/>
      <c r="G21" s="36"/>
      <c r="H21" s="36"/>
      <c r="I21" s="36"/>
      <c r="J21" s="13"/>
      <c r="K21" s="13"/>
      <c r="L21" s="13"/>
      <c r="M21" s="13"/>
      <c r="N21" s="13"/>
      <c r="Q21" s="23"/>
    </row>
    <row r="22" spans="1:17" hidden="1" x14ac:dyDescent="0.25">
      <c r="A22" s="56"/>
      <c r="B22" s="39" t="s">
        <v>17</v>
      </c>
      <c r="C22" s="36"/>
      <c r="D22" s="36"/>
      <c r="E22" s="36"/>
      <c r="F22" s="36"/>
      <c r="G22" s="36"/>
      <c r="H22" s="36"/>
      <c r="I22" s="36"/>
      <c r="J22" s="13"/>
      <c r="K22" s="13"/>
      <c r="L22" s="13"/>
      <c r="M22" s="13"/>
      <c r="N22" s="13"/>
      <c r="Q22" s="23"/>
    </row>
    <row r="23" spans="1:17" hidden="1" x14ac:dyDescent="0.25">
      <c r="A23" s="76" t="s">
        <v>18</v>
      </c>
      <c r="B23" s="77"/>
      <c r="C23" s="38">
        <f>SUM(C16:C19,C21:C22)</f>
        <v>0</v>
      </c>
      <c r="D23" s="38">
        <f t="shared" ref="D23:H23" si="1">SUM(D16:D19,D21:D22)</f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>SUM(I16:I19,I21:I22)</f>
        <v>0</v>
      </c>
      <c r="J23" s="14">
        <f>SUM(J16:J19,J21:J22)</f>
        <v>0</v>
      </c>
      <c r="K23" s="14">
        <f t="shared" ref="K23:N23" si="2">SUM(K16:K19,K21:K22)</f>
        <v>0</v>
      </c>
      <c r="L23" s="14">
        <f t="shared" si="2"/>
        <v>0</v>
      </c>
      <c r="M23" s="14">
        <f t="shared" si="2"/>
        <v>0</v>
      </c>
      <c r="N23" s="14">
        <f t="shared" si="2"/>
        <v>0</v>
      </c>
      <c r="Q23" s="23"/>
    </row>
    <row r="24" spans="1:17" hidden="1" x14ac:dyDescent="0.25">
      <c r="A24" s="78" t="s">
        <v>26</v>
      </c>
      <c r="B24" s="72" t="s">
        <v>19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Q24" s="23"/>
    </row>
    <row r="25" spans="1:17" hidden="1" x14ac:dyDescent="0.25">
      <c r="A25" s="79"/>
      <c r="B25" s="35" t="s">
        <v>14</v>
      </c>
      <c r="C25" s="36"/>
      <c r="D25" s="36"/>
      <c r="E25" s="36"/>
      <c r="F25" s="36"/>
      <c r="G25" s="36"/>
      <c r="H25" s="36"/>
      <c r="I25" s="36"/>
      <c r="J25" s="13"/>
      <c r="K25" s="13"/>
      <c r="L25" s="13"/>
      <c r="M25" s="13"/>
      <c r="N25" s="13"/>
      <c r="Q25" s="23"/>
    </row>
    <row r="26" spans="1:17" hidden="1" x14ac:dyDescent="0.25">
      <c r="A26" s="79"/>
      <c r="B26" s="35" t="s">
        <v>15</v>
      </c>
      <c r="C26" s="36" t="e">
        <f>#REF!*'2022'!AS26</f>
        <v>#REF!</v>
      </c>
      <c r="D26" s="36"/>
      <c r="E26" s="36"/>
      <c r="F26" s="36"/>
      <c r="G26" s="36"/>
      <c r="H26" s="36"/>
      <c r="I26" s="36"/>
      <c r="J26" s="13"/>
      <c r="K26" s="13"/>
      <c r="L26" s="13"/>
      <c r="M26" s="13"/>
      <c r="N26" s="13"/>
      <c r="P26" s="23"/>
      <c r="Q26" s="23"/>
    </row>
    <row r="27" spans="1:17" hidden="1" x14ac:dyDescent="0.25">
      <c r="A27" s="79"/>
      <c r="B27" s="35" t="s">
        <v>16</v>
      </c>
      <c r="C27" s="36" t="e">
        <f>#REF!*'2022'!AS27</f>
        <v>#REF!</v>
      </c>
      <c r="D27" s="36"/>
      <c r="E27" s="36"/>
      <c r="F27" s="36"/>
      <c r="G27" s="36"/>
      <c r="H27" s="36"/>
      <c r="I27" s="36"/>
      <c r="J27" s="13"/>
      <c r="K27" s="13"/>
      <c r="L27" s="13"/>
      <c r="M27" s="13"/>
      <c r="N27" s="13"/>
      <c r="Q27" s="23"/>
    </row>
    <row r="28" spans="1:17" hidden="1" x14ac:dyDescent="0.25">
      <c r="A28" s="79"/>
      <c r="B28" s="35" t="s">
        <v>17</v>
      </c>
      <c r="C28" s="36" t="e">
        <f>#REF!*'2022'!AS28</f>
        <v>#REF!</v>
      </c>
      <c r="D28" s="36"/>
      <c r="E28" s="36"/>
      <c r="F28" s="36"/>
      <c r="G28" s="36"/>
      <c r="H28" s="36"/>
      <c r="I28" s="36"/>
      <c r="J28" s="13"/>
      <c r="K28" s="13"/>
      <c r="L28" s="13"/>
      <c r="M28" s="13"/>
      <c r="N28" s="13"/>
      <c r="Q28" s="23"/>
    </row>
    <row r="29" spans="1:17" hidden="1" x14ac:dyDescent="0.25">
      <c r="A29" s="79"/>
      <c r="B29" s="72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P29" s="23"/>
      <c r="Q29" s="23"/>
    </row>
    <row r="30" spans="1:17" hidden="1" x14ac:dyDescent="0.25">
      <c r="A30" s="79"/>
      <c r="B30" s="35" t="s">
        <v>16</v>
      </c>
      <c r="C30" s="36" t="e">
        <f>#REF!*'2022'!AS30</f>
        <v>#REF!</v>
      </c>
      <c r="D30" s="36"/>
      <c r="E30" s="36"/>
      <c r="F30" s="36"/>
      <c r="G30" s="36"/>
      <c r="H30" s="36"/>
      <c r="I30" s="36"/>
      <c r="J30" s="13"/>
      <c r="K30" s="13"/>
      <c r="L30" s="13"/>
      <c r="M30" s="13"/>
      <c r="N30" s="13"/>
      <c r="Q30" s="23"/>
    </row>
    <row r="31" spans="1:17" hidden="1" x14ac:dyDescent="0.25">
      <c r="A31" s="56"/>
      <c r="B31" s="35" t="s">
        <v>17</v>
      </c>
      <c r="C31" s="36" t="e">
        <f>#REF!*'2022'!AS31</f>
        <v>#REF!</v>
      </c>
      <c r="D31" s="36"/>
      <c r="E31" s="36"/>
      <c r="F31" s="36"/>
      <c r="G31" s="36"/>
      <c r="H31" s="36"/>
      <c r="I31" s="36"/>
      <c r="J31" s="13"/>
      <c r="K31" s="13"/>
      <c r="L31" s="13"/>
      <c r="M31" s="13"/>
      <c r="N31" s="13"/>
      <c r="Q31" s="23"/>
    </row>
    <row r="32" spans="1:17" s="30" customFormat="1" hidden="1" x14ac:dyDescent="0.25">
      <c r="A32" s="76" t="s">
        <v>18</v>
      </c>
      <c r="B32" s="77"/>
      <c r="C32" s="38" t="e">
        <f>SUM(C25:C28,C30:C31)</f>
        <v>#REF!</v>
      </c>
      <c r="D32" s="38">
        <f t="shared" ref="D32:F32" si="3">SUM(D25:D28,D30:D31)</f>
        <v>0</v>
      </c>
      <c r="E32" s="38">
        <f t="shared" si="3"/>
        <v>0</v>
      </c>
      <c r="F32" s="38">
        <f t="shared" si="3"/>
        <v>0</v>
      </c>
      <c r="G32" s="38">
        <f>SUM(G25:G28,G30:G31)</f>
        <v>0</v>
      </c>
      <c r="H32" s="38">
        <f>SUM(H25:H28,H30:H31)</f>
        <v>0</v>
      </c>
      <c r="I32" s="38">
        <f>SUM(I25:I28,I30:I31)</f>
        <v>0</v>
      </c>
      <c r="J32" s="14">
        <f>SUM(J25:J28,J30:J31)</f>
        <v>0</v>
      </c>
      <c r="K32" s="14">
        <f t="shared" ref="K32:N32" si="4">SUM(K25:K28,K30:K31)</f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Q32" s="50"/>
    </row>
    <row r="33" spans="1:17" s="30" customFormat="1" x14ac:dyDescent="0.25">
      <c r="A33" s="78" t="s">
        <v>43</v>
      </c>
      <c r="B33" s="72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Q33" s="50"/>
    </row>
    <row r="34" spans="1:17" s="30" customFormat="1" x14ac:dyDescent="0.25">
      <c r="A34" s="79"/>
      <c r="B34" s="35" t="s">
        <v>14</v>
      </c>
      <c r="C34" s="36"/>
      <c r="D34" s="36"/>
      <c r="F34" s="36"/>
      <c r="G34" s="36"/>
      <c r="H34" s="36"/>
      <c r="I34" s="36"/>
      <c r="J34" s="13"/>
      <c r="K34" s="13"/>
      <c r="L34" s="13"/>
      <c r="M34" s="13"/>
      <c r="N34" s="21"/>
      <c r="Q34" s="50"/>
    </row>
    <row r="35" spans="1:17" s="30" customFormat="1" x14ac:dyDescent="0.25">
      <c r="A35" s="79"/>
      <c r="B35" s="35" t="s">
        <v>15</v>
      </c>
      <c r="C35" s="36"/>
      <c r="D35" s="36"/>
      <c r="E35" s="36"/>
      <c r="F35" s="36"/>
      <c r="G35" s="36"/>
      <c r="H35" s="36"/>
      <c r="I35" s="36"/>
      <c r="J35" s="13"/>
      <c r="K35" s="13"/>
      <c r="L35" s="13"/>
      <c r="M35" s="13"/>
      <c r="N35" s="21"/>
      <c r="Q35" s="50"/>
    </row>
    <row r="36" spans="1:17" s="30" customFormat="1" x14ac:dyDescent="0.25">
      <c r="A36" s="79"/>
      <c r="B36" s="35" t="s">
        <v>16</v>
      </c>
      <c r="C36" s="36">
        <v>248357</v>
      </c>
      <c r="D36" s="36">
        <f>40773+183227</f>
        <v>224000</v>
      </c>
      <c r="E36" s="36">
        <f>159590+41343</f>
        <v>200933</v>
      </c>
      <c r="F36" s="36">
        <v>178589</v>
      </c>
      <c r="G36" s="36">
        <v>106144</v>
      </c>
      <c r="H36" s="36">
        <v>84243</v>
      </c>
      <c r="I36" s="36">
        <v>89091</v>
      </c>
      <c r="J36" s="13">
        <v>89479</v>
      </c>
      <c r="K36" s="13">
        <v>109107</v>
      </c>
      <c r="L36" s="13">
        <v>173612</v>
      </c>
      <c r="M36" s="13">
        <v>200507</v>
      </c>
      <c r="N36" s="13">
        <v>261222</v>
      </c>
      <c r="Q36" s="50"/>
    </row>
    <row r="37" spans="1:17" s="30" customFormat="1" x14ac:dyDescent="0.25">
      <c r="A37" s="79"/>
      <c r="B37" s="35" t="s">
        <v>17</v>
      </c>
      <c r="C37" s="36">
        <v>6069</v>
      </c>
      <c r="D37" s="36">
        <f>1127+2520</f>
        <v>3647</v>
      </c>
      <c r="E37" s="36">
        <f>3360+987</f>
        <v>4347</v>
      </c>
      <c r="F37" s="36">
        <v>2642</v>
      </c>
      <c r="G37" s="36">
        <v>2491</v>
      </c>
      <c r="H37" s="36">
        <v>2250</v>
      </c>
      <c r="I37" s="36">
        <v>1891</v>
      </c>
      <c r="J37" s="13">
        <v>1950</v>
      </c>
      <c r="K37" s="13">
        <v>3300</v>
      </c>
      <c r="L37" s="13">
        <v>4500</v>
      </c>
      <c r="M37" s="13">
        <v>4272</v>
      </c>
      <c r="N37" s="13">
        <v>6668</v>
      </c>
      <c r="Q37" s="50"/>
    </row>
    <row r="38" spans="1:17" s="30" customFormat="1" x14ac:dyDescent="0.25">
      <c r="A38" s="79"/>
      <c r="B38" s="72" t="s">
        <v>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</row>
    <row r="39" spans="1:17" s="30" customFormat="1" x14ac:dyDescent="0.25">
      <c r="A39" s="79"/>
      <c r="B39" s="39" t="s">
        <v>16</v>
      </c>
      <c r="C39" s="36"/>
      <c r="D39" s="36">
        <v>2200</v>
      </c>
      <c r="E39" s="36">
        <v>2260</v>
      </c>
      <c r="F39" s="36">
        <v>2460</v>
      </c>
      <c r="G39" s="36">
        <v>2180</v>
      </c>
      <c r="H39" s="36">
        <v>1900</v>
      </c>
      <c r="I39" s="36">
        <v>1760</v>
      </c>
      <c r="J39" s="13">
        <v>1920</v>
      </c>
      <c r="K39" s="13">
        <v>2480</v>
      </c>
      <c r="L39" s="13">
        <v>2400</v>
      </c>
      <c r="M39" s="13">
        <v>1960</v>
      </c>
      <c r="N39" s="13">
        <v>2220</v>
      </c>
    </row>
    <row r="40" spans="1:17" s="30" customFormat="1" x14ac:dyDescent="0.25">
      <c r="A40" s="76" t="s">
        <v>18</v>
      </c>
      <c r="B40" s="77"/>
      <c r="C40" s="38">
        <f>SUM(C34:C37,C39)</f>
        <v>254426</v>
      </c>
      <c r="D40" s="38">
        <f t="shared" ref="D40:N40" si="5">SUM(D34:D37,D39)</f>
        <v>229847</v>
      </c>
      <c r="E40" s="38">
        <f>SUM(E35:E37,E39)</f>
        <v>207540</v>
      </c>
      <c r="F40" s="38">
        <f t="shared" si="5"/>
        <v>183691</v>
      </c>
      <c r="G40" s="38">
        <f>SUM(G34:G37,G39)</f>
        <v>110815</v>
      </c>
      <c r="H40" s="38">
        <f t="shared" si="5"/>
        <v>88393</v>
      </c>
      <c r="I40" s="38">
        <f t="shared" si="5"/>
        <v>92742</v>
      </c>
      <c r="J40" s="14">
        <f>SUM(J34:J37,J39)</f>
        <v>93349</v>
      </c>
      <c r="K40" s="14">
        <f t="shared" si="5"/>
        <v>114887</v>
      </c>
      <c r="L40" s="14">
        <f t="shared" si="5"/>
        <v>180512</v>
      </c>
      <c r="M40" s="14">
        <f t="shared" si="5"/>
        <v>206739</v>
      </c>
      <c r="N40" s="14">
        <f t="shared" si="5"/>
        <v>270110</v>
      </c>
    </row>
    <row r="41" spans="1:17" s="30" customFormat="1" hidden="1" x14ac:dyDescent="0.25">
      <c r="A41" s="78" t="s">
        <v>50</v>
      </c>
      <c r="B41" s="72" t="s">
        <v>19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7" s="30" customFormat="1" hidden="1" x14ac:dyDescent="0.25">
      <c r="A42" s="79"/>
      <c r="B42" s="35" t="s">
        <v>14</v>
      </c>
      <c r="C42" s="36"/>
      <c r="D42" s="36"/>
      <c r="E42" s="36"/>
      <c r="F42" s="36"/>
      <c r="G42" s="36"/>
      <c r="H42" s="36"/>
      <c r="I42" s="36"/>
      <c r="J42" s="13"/>
      <c r="K42" s="13"/>
      <c r="L42" s="13"/>
      <c r="M42" s="13"/>
      <c r="N42" s="21"/>
    </row>
    <row r="43" spans="1:17" s="30" customFormat="1" hidden="1" x14ac:dyDescent="0.25">
      <c r="A43" s="79"/>
      <c r="B43" s="35" t="s">
        <v>15</v>
      </c>
      <c r="C43" s="36"/>
      <c r="D43" s="36"/>
      <c r="E43" s="36"/>
      <c r="F43" s="36"/>
      <c r="G43" s="36"/>
      <c r="H43" s="36"/>
      <c r="I43" s="36"/>
      <c r="J43" s="13"/>
      <c r="K43" s="13"/>
      <c r="L43" s="13"/>
      <c r="M43" s="13"/>
      <c r="N43" s="21"/>
    </row>
    <row r="44" spans="1:17" s="30" customFormat="1" hidden="1" x14ac:dyDescent="0.25">
      <c r="A44" s="79"/>
      <c r="B44" s="35" t="s">
        <v>16</v>
      </c>
      <c r="C44" s="36"/>
      <c r="D44" s="36"/>
      <c r="E44" s="36"/>
      <c r="F44" s="36"/>
      <c r="G44" s="36"/>
      <c r="H44" s="36"/>
      <c r="I44" s="36"/>
      <c r="J44" s="13"/>
      <c r="K44" s="13"/>
      <c r="L44" s="13"/>
      <c r="M44" s="13"/>
      <c r="N44" s="21"/>
    </row>
    <row r="45" spans="1:17" s="30" customFormat="1" hidden="1" x14ac:dyDescent="0.25">
      <c r="A45" s="79"/>
      <c r="B45" s="35" t="s">
        <v>17</v>
      </c>
      <c r="C45" s="36"/>
      <c r="D45" s="36"/>
      <c r="E45" s="36"/>
      <c r="F45" s="36"/>
      <c r="G45" s="36"/>
      <c r="H45" s="36"/>
      <c r="I45" s="36"/>
      <c r="J45" s="13"/>
      <c r="K45" s="13"/>
      <c r="L45" s="13"/>
      <c r="M45" s="13"/>
      <c r="N45" s="13"/>
      <c r="Q45" s="50"/>
    </row>
    <row r="46" spans="1:17" s="30" customFormat="1" hidden="1" x14ac:dyDescent="0.25">
      <c r="A46" s="79"/>
      <c r="B46" s="72" t="s">
        <v>20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4"/>
      <c r="Q46" s="50"/>
    </row>
    <row r="47" spans="1:17" s="30" customFormat="1" hidden="1" x14ac:dyDescent="0.25">
      <c r="A47" s="79"/>
      <c r="B47" s="35" t="s">
        <v>17</v>
      </c>
      <c r="C47" s="36" t="e">
        <f>#REF!*'2022'!AS47</f>
        <v>#REF!</v>
      </c>
      <c r="D47" s="36"/>
      <c r="E47" s="36"/>
      <c r="F47" s="36"/>
      <c r="G47" s="36"/>
      <c r="H47" s="36"/>
      <c r="I47" s="36"/>
      <c r="J47" s="13"/>
      <c r="K47" s="13"/>
      <c r="L47" s="13"/>
      <c r="M47" s="13"/>
      <c r="N47" s="21"/>
      <c r="Q47" s="50"/>
    </row>
    <row r="48" spans="1:17" s="30" customFormat="1" hidden="1" x14ac:dyDescent="0.25">
      <c r="A48" s="76" t="s">
        <v>18</v>
      </c>
      <c r="B48" s="77"/>
      <c r="C48" s="38" t="e">
        <f>SUM(C42:C45,C47)</f>
        <v>#REF!</v>
      </c>
      <c r="D48" s="38">
        <f t="shared" ref="D48:N48" si="6">SUM(D42:D45,D47)</f>
        <v>0</v>
      </c>
      <c r="E48" s="38">
        <f>SUM(E42:E45,E47)</f>
        <v>0</v>
      </c>
      <c r="F48" s="38">
        <f t="shared" si="6"/>
        <v>0</v>
      </c>
      <c r="G48" s="38">
        <f>SUM(G42:G45,G47)</f>
        <v>0</v>
      </c>
      <c r="H48" s="38">
        <f t="shared" si="6"/>
        <v>0</v>
      </c>
      <c r="I48" s="38">
        <f>SUM(I42:I45,I47)</f>
        <v>0</v>
      </c>
      <c r="J48" s="14">
        <f>SUM(J42:J45,J47)</f>
        <v>0</v>
      </c>
      <c r="K48" s="14">
        <f t="shared" si="6"/>
        <v>0</v>
      </c>
      <c r="L48" s="14">
        <f t="shared" si="6"/>
        <v>0</v>
      </c>
      <c r="M48" s="14">
        <f t="shared" si="6"/>
        <v>0</v>
      </c>
      <c r="N48" s="14">
        <f t="shared" si="6"/>
        <v>0</v>
      </c>
      <c r="Q48" s="50"/>
    </row>
    <row r="49" spans="1:17" s="30" customFormat="1" x14ac:dyDescent="0.25">
      <c r="A49" s="78" t="s">
        <v>54</v>
      </c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Q49" s="50"/>
    </row>
    <row r="50" spans="1:17" s="30" customFormat="1" x14ac:dyDescent="0.25">
      <c r="A50" s="79"/>
      <c r="B50" s="35" t="s">
        <v>14</v>
      </c>
      <c r="C50" s="36"/>
      <c r="D50" s="36"/>
      <c r="E50" s="36"/>
      <c r="F50" s="36">
        <v>0</v>
      </c>
      <c r="G50" s="36"/>
      <c r="H50" s="36"/>
      <c r="I50" s="36"/>
      <c r="J50" s="13"/>
      <c r="K50" s="13"/>
      <c r="L50" s="13"/>
      <c r="M50" s="13"/>
      <c r="N50" s="21"/>
      <c r="Q50" s="50"/>
    </row>
    <row r="51" spans="1:17" s="30" customFormat="1" x14ac:dyDescent="0.25">
      <c r="A51" s="79"/>
      <c r="B51" s="35" t="s">
        <v>15</v>
      </c>
      <c r="C51" s="36"/>
      <c r="D51" s="36"/>
      <c r="E51" s="36"/>
      <c r="F51" s="36">
        <v>0</v>
      </c>
      <c r="G51" s="36"/>
      <c r="H51" s="36"/>
      <c r="I51" s="36"/>
      <c r="J51" s="13"/>
      <c r="K51" s="13"/>
      <c r="L51" s="13"/>
      <c r="M51" s="13"/>
      <c r="N51" s="21"/>
      <c r="Q51" s="50"/>
    </row>
    <row r="52" spans="1:17" s="30" customFormat="1" x14ac:dyDescent="0.25">
      <c r="A52" s="79"/>
      <c r="B52" s="35" t="s">
        <v>16</v>
      </c>
      <c r="C52" s="57">
        <f>111825+94260</f>
        <v>206085</v>
      </c>
      <c r="D52" s="57">
        <f>108548+89469</f>
        <v>198017</v>
      </c>
      <c r="E52" s="36">
        <f>102154+73075</f>
        <v>175229</v>
      </c>
      <c r="F52" s="36">
        <v>158522</v>
      </c>
      <c r="G52" s="36">
        <v>96468</v>
      </c>
      <c r="H52" s="36">
        <v>95760</v>
      </c>
      <c r="I52" s="36">
        <v>89052</v>
      </c>
      <c r="J52" s="13">
        <v>105842</v>
      </c>
      <c r="K52" s="13">
        <v>114240</v>
      </c>
      <c r="L52" s="13">
        <v>177061</v>
      </c>
      <c r="M52" s="13">
        <v>177509</v>
      </c>
      <c r="N52" s="13">
        <v>191647</v>
      </c>
      <c r="Q52" s="50"/>
    </row>
    <row r="53" spans="1:17" s="30" customFormat="1" x14ac:dyDescent="0.25">
      <c r="A53" s="79"/>
      <c r="B53" s="35" t="s">
        <v>17</v>
      </c>
      <c r="C53" s="57">
        <f>9189+9208</f>
        <v>18397</v>
      </c>
      <c r="D53" s="57">
        <f>8630+9126</f>
        <v>17756</v>
      </c>
      <c r="E53" s="36">
        <f>9182+8087</f>
        <v>17269</v>
      </c>
      <c r="F53" s="36">
        <v>17115</v>
      </c>
      <c r="G53" s="36">
        <v>12510</v>
      </c>
      <c r="H53" s="36">
        <v>10796</v>
      </c>
      <c r="I53" s="36">
        <v>11060</v>
      </c>
      <c r="J53" s="13">
        <v>10583</v>
      </c>
      <c r="K53" s="13">
        <v>12206</v>
      </c>
      <c r="L53" s="13">
        <v>12334</v>
      </c>
      <c r="M53" s="13">
        <v>17387</v>
      </c>
      <c r="N53" s="13">
        <v>19104</v>
      </c>
      <c r="Q53" s="50"/>
    </row>
    <row r="54" spans="1:17" s="30" customFormat="1" x14ac:dyDescent="0.25">
      <c r="A54" s="79"/>
      <c r="B54" s="72" t="s">
        <v>20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4"/>
      <c r="Q54" s="50"/>
    </row>
    <row r="55" spans="1:17" s="30" customFormat="1" x14ac:dyDescent="0.25">
      <c r="A55" s="79"/>
      <c r="B55" s="40" t="s">
        <v>20</v>
      </c>
      <c r="C55" s="36"/>
      <c r="D55" s="36"/>
      <c r="E55" s="36"/>
      <c r="F55" s="36"/>
      <c r="G55" s="36"/>
      <c r="H55" s="36"/>
      <c r="I55" s="36"/>
      <c r="J55" s="13"/>
      <c r="K55" s="13"/>
      <c r="L55" s="13"/>
      <c r="M55" s="13"/>
      <c r="N55" s="21"/>
      <c r="Q55" s="50"/>
    </row>
    <row r="56" spans="1:17" s="30" customFormat="1" x14ac:dyDescent="0.25">
      <c r="A56" s="76" t="s">
        <v>18</v>
      </c>
      <c r="B56" s="77"/>
      <c r="C56" s="38">
        <f>SUM(C50:C53,C55)</f>
        <v>224482</v>
      </c>
      <c r="D56" s="38">
        <f t="shared" ref="D56:N56" si="7">SUM(D50:D53,D55)</f>
        <v>215773</v>
      </c>
      <c r="E56" s="38">
        <f>SUM(E50:E53,E55)</f>
        <v>192498</v>
      </c>
      <c r="F56" s="38">
        <f t="shared" si="7"/>
        <v>175637</v>
      </c>
      <c r="G56" s="38">
        <f>SUM(G50:G53,G55)</f>
        <v>108978</v>
      </c>
      <c r="H56" s="38">
        <f t="shared" si="7"/>
        <v>106556</v>
      </c>
      <c r="I56" s="38">
        <f>SUM(I50:I53,I55)</f>
        <v>100112</v>
      </c>
      <c r="J56" s="14">
        <f>SUM(J50:J53,J55)</f>
        <v>116425</v>
      </c>
      <c r="K56" s="14">
        <f t="shared" si="7"/>
        <v>126446</v>
      </c>
      <c r="L56" s="14">
        <f t="shared" si="7"/>
        <v>189395</v>
      </c>
      <c r="M56" s="14">
        <f t="shared" si="7"/>
        <v>194896</v>
      </c>
      <c r="N56" s="14">
        <f t="shared" si="7"/>
        <v>210751</v>
      </c>
      <c r="Q56" s="50"/>
    </row>
    <row r="57" spans="1:17" x14ac:dyDescent="0.25">
      <c r="A57" s="78" t="s">
        <v>55</v>
      </c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  <c r="Q57" s="23"/>
    </row>
    <row r="58" spans="1:17" x14ac:dyDescent="0.25">
      <c r="A58" s="79"/>
      <c r="B58" s="35" t="s">
        <v>14</v>
      </c>
      <c r="C58" s="36"/>
      <c r="D58" s="36"/>
      <c r="E58" s="36"/>
      <c r="F58" s="36"/>
      <c r="G58" s="36"/>
      <c r="H58" s="36"/>
      <c r="I58" s="36"/>
      <c r="J58" s="13"/>
      <c r="K58" s="13"/>
      <c r="L58" s="13"/>
      <c r="M58" s="13"/>
      <c r="N58" s="21"/>
      <c r="Q58" s="23"/>
    </row>
    <row r="59" spans="1:17" x14ac:dyDescent="0.25">
      <c r="A59" s="79"/>
      <c r="B59" s="35" t="s">
        <v>15</v>
      </c>
      <c r="C59" s="36"/>
      <c r="D59" s="36"/>
      <c r="E59" s="36"/>
      <c r="F59" s="36"/>
      <c r="G59" s="36"/>
      <c r="H59" s="36"/>
      <c r="I59" s="36"/>
      <c r="J59" s="13"/>
      <c r="K59" s="13"/>
      <c r="L59" s="13"/>
      <c r="M59" s="13"/>
      <c r="N59" s="21"/>
      <c r="Q59" s="23"/>
    </row>
    <row r="60" spans="1:17" x14ac:dyDescent="0.25">
      <c r="A60" s="79"/>
      <c r="B60" s="35" t="s">
        <v>16</v>
      </c>
      <c r="C60" s="36"/>
      <c r="D60" s="36"/>
      <c r="E60" s="36"/>
      <c r="F60" s="36"/>
      <c r="G60" s="36"/>
      <c r="H60" s="36"/>
      <c r="I60" s="36"/>
      <c r="J60" s="13"/>
      <c r="K60" s="13"/>
      <c r="L60" s="13"/>
      <c r="M60" s="13"/>
      <c r="N60" s="21"/>
      <c r="Q60" s="23"/>
    </row>
    <row r="61" spans="1:17" x14ac:dyDescent="0.25">
      <c r="A61" s="79"/>
      <c r="B61" s="35" t="s">
        <v>17</v>
      </c>
      <c r="C61" s="36">
        <v>5361</v>
      </c>
      <c r="D61" s="36">
        <v>4840</v>
      </c>
      <c r="E61" s="36">
        <v>4442</v>
      </c>
      <c r="F61" s="36">
        <v>3125</v>
      </c>
      <c r="G61" s="36">
        <v>3247</v>
      </c>
      <c r="H61" s="36">
        <v>2604</v>
      </c>
      <c r="I61" s="36">
        <v>2634</v>
      </c>
      <c r="J61" s="13">
        <v>2696</v>
      </c>
      <c r="K61" s="13">
        <v>1899</v>
      </c>
      <c r="L61" s="13">
        <v>2267</v>
      </c>
      <c r="M61" s="13">
        <v>2297</v>
      </c>
      <c r="N61" s="13">
        <v>2389</v>
      </c>
      <c r="Q61" s="23"/>
    </row>
    <row r="62" spans="1:17" x14ac:dyDescent="0.25">
      <c r="A62" s="79"/>
      <c r="B62" s="72" t="s">
        <v>20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4"/>
    </row>
    <row r="63" spans="1:17" x14ac:dyDescent="0.25">
      <c r="A63" s="79"/>
      <c r="B63" s="40"/>
      <c r="C63" s="36"/>
      <c r="D63" s="36"/>
      <c r="E63" s="36"/>
      <c r="F63" s="36"/>
      <c r="G63" s="36"/>
      <c r="H63" s="36"/>
      <c r="I63" s="36"/>
      <c r="J63" s="13"/>
      <c r="K63" s="13"/>
      <c r="L63" s="13"/>
      <c r="M63" s="13"/>
      <c r="N63" s="21"/>
    </row>
    <row r="64" spans="1:17" x14ac:dyDescent="0.25">
      <c r="A64" s="76" t="s">
        <v>18</v>
      </c>
      <c r="B64" s="77"/>
      <c r="C64" s="38">
        <f>SUM(C58:C61,C63)</f>
        <v>5361</v>
      </c>
      <c r="D64" s="38">
        <f t="shared" ref="D64:N64" si="8">SUM(D58:D61,D63)</f>
        <v>4840</v>
      </c>
      <c r="E64" s="38">
        <f t="shared" si="8"/>
        <v>4442</v>
      </c>
      <c r="F64" s="38">
        <f t="shared" si="8"/>
        <v>3125</v>
      </c>
      <c r="G64" s="38">
        <f t="shared" si="8"/>
        <v>3247</v>
      </c>
      <c r="H64" s="38">
        <f t="shared" si="8"/>
        <v>2604</v>
      </c>
      <c r="I64" s="38">
        <f t="shared" si="8"/>
        <v>2634</v>
      </c>
      <c r="J64" s="14">
        <f t="shared" si="8"/>
        <v>2696</v>
      </c>
      <c r="K64" s="14">
        <f t="shared" si="8"/>
        <v>1899</v>
      </c>
      <c r="L64" s="14">
        <f t="shared" si="8"/>
        <v>2267</v>
      </c>
      <c r="M64" s="14">
        <f t="shared" si="8"/>
        <v>2297</v>
      </c>
      <c r="N64" s="14">
        <f t="shared" si="8"/>
        <v>2389</v>
      </c>
    </row>
    <row r="65" spans="1:17" hidden="1" x14ac:dyDescent="0.25">
      <c r="A65" s="78" t="s">
        <v>37</v>
      </c>
      <c r="B65" s="72" t="s">
        <v>19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Q65" s="23"/>
    </row>
    <row r="66" spans="1:17" hidden="1" x14ac:dyDescent="0.25">
      <c r="A66" s="79"/>
      <c r="B66" s="35" t="s">
        <v>14</v>
      </c>
      <c r="C66" s="36"/>
      <c r="D66" s="36"/>
      <c r="E66" s="36"/>
      <c r="F66" s="36"/>
      <c r="G66" s="36"/>
      <c r="H66" s="36"/>
      <c r="I66" s="36"/>
      <c r="J66" s="13"/>
      <c r="K66" s="13"/>
      <c r="L66" s="13"/>
      <c r="M66" s="13"/>
      <c r="N66" s="21"/>
      <c r="Q66" s="23"/>
    </row>
    <row r="67" spans="1:17" hidden="1" x14ac:dyDescent="0.25">
      <c r="A67" s="79"/>
      <c r="B67" s="35" t="s">
        <v>15</v>
      </c>
      <c r="C67" s="36"/>
      <c r="D67" s="36"/>
      <c r="E67" s="36"/>
      <c r="F67" s="36"/>
      <c r="G67" s="36"/>
      <c r="H67" s="36"/>
      <c r="I67" s="36"/>
      <c r="J67" s="13"/>
      <c r="K67" s="13"/>
      <c r="L67" s="13"/>
      <c r="M67" s="13"/>
      <c r="N67" s="21"/>
      <c r="Q67" s="23"/>
    </row>
    <row r="68" spans="1:17" hidden="1" x14ac:dyDescent="0.25">
      <c r="A68" s="79"/>
      <c r="B68" s="35" t="s">
        <v>16</v>
      </c>
      <c r="C68" s="36"/>
      <c r="D68" s="36"/>
      <c r="E68" s="36"/>
      <c r="F68" s="36"/>
      <c r="G68" s="36"/>
      <c r="H68" s="36"/>
      <c r="I68" s="36"/>
      <c r="J68" s="13"/>
      <c r="K68" s="13"/>
      <c r="L68" s="13"/>
      <c r="M68" s="13"/>
      <c r="N68" s="21"/>
      <c r="Q68" s="23"/>
    </row>
    <row r="69" spans="1:17" hidden="1" x14ac:dyDescent="0.25">
      <c r="A69" s="79"/>
      <c r="B69" s="35" t="s">
        <v>17</v>
      </c>
      <c r="C69" s="36"/>
      <c r="D69" s="36"/>
      <c r="E69" s="36"/>
      <c r="F69" s="36"/>
      <c r="G69" s="36"/>
      <c r="H69" s="36"/>
      <c r="I69" s="36"/>
      <c r="J69" s="13"/>
      <c r="K69" s="13"/>
      <c r="L69" s="13"/>
      <c r="M69" s="13"/>
      <c r="N69" s="13"/>
      <c r="Q69" s="23"/>
    </row>
    <row r="70" spans="1:17" hidden="1" x14ac:dyDescent="0.25">
      <c r="A70" s="79"/>
      <c r="B70" s="72" t="s">
        <v>20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4"/>
    </row>
    <row r="71" spans="1:17" hidden="1" x14ac:dyDescent="0.25">
      <c r="A71" s="79"/>
      <c r="B71" s="40"/>
      <c r="C71" s="36"/>
      <c r="D71" s="36"/>
      <c r="E71" s="36"/>
      <c r="F71" s="36"/>
      <c r="G71" s="36"/>
      <c r="H71" s="36"/>
      <c r="I71" s="36"/>
      <c r="J71" s="13"/>
      <c r="K71" s="13"/>
      <c r="L71" s="13"/>
      <c r="M71" s="13"/>
      <c r="N71" s="21"/>
    </row>
    <row r="72" spans="1:17" hidden="1" x14ac:dyDescent="0.25">
      <c r="A72" s="76" t="s">
        <v>18</v>
      </c>
      <c r="B72" s="77"/>
      <c r="C72" s="38">
        <f>SUM(C66:C69,C71)</f>
        <v>0</v>
      </c>
      <c r="D72" s="38">
        <f t="shared" ref="D72:N72" si="9">SUM(D66:D69,D71)</f>
        <v>0</v>
      </c>
      <c r="E72" s="38">
        <f t="shared" si="9"/>
        <v>0</v>
      </c>
      <c r="F72" s="38">
        <f t="shared" si="9"/>
        <v>0</v>
      </c>
      <c r="G72" s="38">
        <f t="shared" si="9"/>
        <v>0</v>
      </c>
      <c r="H72" s="38">
        <f t="shared" si="9"/>
        <v>0</v>
      </c>
      <c r="I72" s="38">
        <f t="shared" si="9"/>
        <v>0</v>
      </c>
      <c r="J72" s="14">
        <f t="shared" si="9"/>
        <v>0</v>
      </c>
      <c r="K72" s="14">
        <f t="shared" si="9"/>
        <v>0</v>
      </c>
      <c r="L72" s="14">
        <f t="shared" si="9"/>
        <v>0</v>
      </c>
      <c r="M72" s="14">
        <f t="shared" si="9"/>
        <v>0</v>
      </c>
      <c r="N72" s="14">
        <f t="shared" si="9"/>
        <v>0</v>
      </c>
    </row>
    <row r="73" spans="1:17" x14ac:dyDescent="0.25">
      <c r="A73" s="78" t="s">
        <v>56</v>
      </c>
      <c r="B73" s="72" t="s">
        <v>19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4"/>
    </row>
    <row r="74" spans="1:17" x14ac:dyDescent="0.25">
      <c r="A74" s="79"/>
      <c r="B74" s="35" t="s">
        <v>14</v>
      </c>
      <c r="C74" s="36"/>
      <c r="D74" s="36"/>
      <c r="E74" s="36"/>
      <c r="F74" s="36"/>
      <c r="G74" s="36"/>
      <c r="H74" s="36"/>
      <c r="I74" s="36"/>
      <c r="J74" s="13"/>
      <c r="K74" s="13"/>
      <c r="L74" s="13"/>
      <c r="M74" s="13"/>
      <c r="N74" s="21"/>
    </row>
    <row r="75" spans="1:17" x14ac:dyDescent="0.25">
      <c r="A75" s="79"/>
      <c r="B75" s="35" t="s">
        <v>15</v>
      </c>
      <c r="C75" s="36"/>
      <c r="D75" s="36"/>
      <c r="E75" s="36"/>
      <c r="F75" s="36"/>
      <c r="G75" s="36"/>
      <c r="H75" s="36"/>
      <c r="I75" s="36"/>
      <c r="J75" s="13"/>
      <c r="K75" s="13"/>
      <c r="L75" s="13"/>
      <c r="M75" s="13"/>
      <c r="N75" s="21"/>
    </row>
    <row r="76" spans="1:17" x14ac:dyDescent="0.25">
      <c r="A76" s="79"/>
      <c r="B76" s="35" t="s">
        <v>16</v>
      </c>
      <c r="C76" s="57">
        <f>24851+4289</f>
        <v>29140</v>
      </c>
      <c r="D76" s="57">
        <f>15434+4030</f>
        <v>19464</v>
      </c>
      <c r="E76" s="36">
        <f>17911+4236</f>
        <v>22147</v>
      </c>
      <c r="F76" s="36">
        <v>18379</v>
      </c>
      <c r="G76" s="36">
        <f>15121+4157</f>
        <v>19278</v>
      </c>
      <c r="H76" s="36">
        <v>9870</v>
      </c>
      <c r="I76" s="36">
        <v>21028</v>
      </c>
      <c r="J76" s="13">
        <v>21226</v>
      </c>
      <c r="K76" s="13">
        <v>19146</v>
      </c>
      <c r="L76" s="13">
        <v>34398</v>
      </c>
      <c r="M76" s="13">
        <v>24113</v>
      </c>
      <c r="N76" s="13">
        <v>35916</v>
      </c>
    </row>
    <row r="77" spans="1:17" x14ac:dyDescent="0.25">
      <c r="A77" s="79"/>
      <c r="B77" s="35" t="s">
        <v>17</v>
      </c>
      <c r="C77" s="36"/>
      <c r="D77" s="36"/>
      <c r="E77" s="36"/>
      <c r="F77" s="36"/>
      <c r="G77" s="36"/>
      <c r="H77" s="36"/>
      <c r="I77" s="36"/>
      <c r="J77" s="13"/>
      <c r="K77" s="13"/>
      <c r="L77" s="13"/>
      <c r="M77" s="13"/>
      <c r="N77" s="13"/>
    </row>
    <row r="78" spans="1:17" x14ac:dyDescent="0.25">
      <c r="A78" s="79"/>
      <c r="B78" s="72" t="s">
        <v>20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4"/>
    </row>
    <row r="79" spans="1:17" x14ac:dyDescent="0.25">
      <c r="A79" s="79"/>
      <c r="B79" s="40"/>
      <c r="C79" s="36"/>
      <c r="D79" s="36"/>
      <c r="E79" s="36"/>
      <c r="F79" s="36"/>
      <c r="G79" s="36"/>
      <c r="H79" s="36"/>
      <c r="I79" s="36"/>
      <c r="J79" s="13"/>
      <c r="K79" s="13"/>
      <c r="L79" s="13"/>
      <c r="M79" s="13"/>
      <c r="N79" s="21"/>
    </row>
    <row r="80" spans="1:17" x14ac:dyDescent="0.25">
      <c r="A80" s="76" t="s">
        <v>18</v>
      </c>
      <c r="B80" s="77"/>
      <c r="C80" s="38">
        <f>SUM(C74:C77,C79)</f>
        <v>29140</v>
      </c>
      <c r="D80" s="38">
        <f t="shared" ref="D80" si="10">SUM(D74:D77,D79)</f>
        <v>19464</v>
      </c>
      <c r="E80" s="38">
        <f t="shared" ref="E80" si="11">SUM(E74:E77,E79)</f>
        <v>22147</v>
      </c>
      <c r="F80" s="38">
        <f t="shared" ref="F80" si="12">SUM(F74:F77,F79)</f>
        <v>18379</v>
      </c>
      <c r="G80" s="38">
        <f t="shared" ref="G80" si="13">SUM(G74:G77,G79)</f>
        <v>19278</v>
      </c>
      <c r="H80" s="38">
        <f t="shared" ref="H80" si="14">SUM(H74:H77,H79)</f>
        <v>9870</v>
      </c>
      <c r="I80" s="38">
        <f t="shared" ref="I80" si="15">SUM(I74:I77,I79)</f>
        <v>21028</v>
      </c>
      <c r="J80" s="14">
        <f t="shared" ref="J80" si="16">SUM(J74:J77,J79)</f>
        <v>21226</v>
      </c>
      <c r="K80" s="14">
        <f t="shared" ref="K80" si="17">SUM(K74:K77,K79)</f>
        <v>19146</v>
      </c>
      <c r="L80" s="14">
        <f t="shared" ref="L80" si="18">SUM(L74:L77,L79)</f>
        <v>34398</v>
      </c>
      <c r="M80" s="14">
        <f t="shared" ref="M80" si="19">SUM(M74:M77,M79)</f>
        <v>24113</v>
      </c>
      <c r="N80" s="14">
        <f t="shared" ref="N80" si="20">SUM(N74:N77,N79)</f>
        <v>35916</v>
      </c>
    </row>
    <row r="81" spans="1:14" x14ac:dyDescent="0.25">
      <c r="A81" s="78" t="s">
        <v>57</v>
      </c>
      <c r="B81" s="72" t="s">
        <v>19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79"/>
      <c r="B82" s="35" t="s">
        <v>14</v>
      </c>
      <c r="C82" s="36"/>
      <c r="D82" s="36"/>
      <c r="E82" s="36"/>
      <c r="F82" s="36"/>
      <c r="G82" s="36"/>
      <c r="H82" s="36"/>
      <c r="I82" s="36"/>
      <c r="J82" s="13"/>
      <c r="K82" s="13"/>
      <c r="L82" s="13"/>
      <c r="M82" s="13"/>
      <c r="N82" s="21"/>
    </row>
    <row r="83" spans="1:14" x14ac:dyDescent="0.25">
      <c r="A83" s="79"/>
      <c r="B83" s="35" t="s">
        <v>15</v>
      </c>
      <c r="C83" s="36"/>
      <c r="D83" s="36"/>
      <c r="E83" s="36"/>
      <c r="F83" s="36"/>
      <c r="G83" s="36"/>
      <c r="H83" s="36"/>
      <c r="I83" s="36"/>
      <c r="J83" s="13"/>
      <c r="K83" s="13"/>
      <c r="L83" s="13"/>
      <c r="M83" s="13"/>
      <c r="N83" s="21"/>
    </row>
    <row r="84" spans="1:14" x14ac:dyDescent="0.25">
      <c r="A84" s="79"/>
      <c r="B84" s="35" t="s">
        <v>16</v>
      </c>
      <c r="C84" s="36">
        <v>16685</v>
      </c>
      <c r="D84" s="36">
        <v>16769</v>
      </c>
      <c r="E84" s="36">
        <v>14297</v>
      </c>
      <c r="F84" s="36">
        <v>13516</v>
      </c>
      <c r="G84" s="36">
        <v>12557</v>
      </c>
      <c r="H84" s="36">
        <v>10461</v>
      </c>
      <c r="I84" s="36">
        <v>13788</v>
      </c>
      <c r="J84" s="13">
        <v>12967</v>
      </c>
      <c r="K84" s="13">
        <v>12140</v>
      </c>
      <c r="L84" s="13">
        <v>14448</v>
      </c>
      <c r="M84" s="13">
        <v>13961</v>
      </c>
      <c r="N84" s="13">
        <v>15765</v>
      </c>
    </row>
    <row r="85" spans="1:14" x14ac:dyDescent="0.25">
      <c r="A85" s="79"/>
      <c r="B85" s="35" t="s">
        <v>17</v>
      </c>
      <c r="C85" s="36"/>
      <c r="D85" s="36"/>
      <c r="E85" s="36"/>
      <c r="F85" s="36"/>
      <c r="G85" s="36"/>
      <c r="H85" s="36"/>
      <c r="I85" s="36"/>
      <c r="J85" s="13"/>
      <c r="K85" s="13"/>
      <c r="L85" s="13"/>
      <c r="M85" s="13"/>
      <c r="N85" s="13"/>
    </row>
    <row r="86" spans="1:14" x14ac:dyDescent="0.25">
      <c r="A86" s="79"/>
      <c r="B86" s="72" t="s">
        <v>20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</row>
    <row r="87" spans="1:14" x14ac:dyDescent="0.25">
      <c r="A87" s="79"/>
      <c r="B87" s="40"/>
      <c r="C87" s="36"/>
      <c r="D87" s="36"/>
      <c r="E87" s="36"/>
      <c r="F87" s="36"/>
      <c r="G87" s="36"/>
      <c r="H87" s="36"/>
      <c r="I87" s="36"/>
      <c r="J87" s="13"/>
      <c r="K87" s="13"/>
      <c r="L87" s="13"/>
      <c r="M87" s="13"/>
      <c r="N87" s="21"/>
    </row>
    <row r="88" spans="1:14" x14ac:dyDescent="0.25">
      <c r="A88" s="76" t="s">
        <v>18</v>
      </c>
      <c r="B88" s="77"/>
      <c r="C88" s="38">
        <f>SUM(C82:C85,C87)</f>
        <v>16685</v>
      </c>
      <c r="D88" s="38">
        <f t="shared" ref="D88" si="21">SUM(D82:D85,D87)</f>
        <v>16769</v>
      </c>
      <c r="E88" s="38">
        <f t="shared" ref="E88" si="22">SUM(E82:E85,E87)</f>
        <v>14297</v>
      </c>
      <c r="F88" s="38">
        <f t="shared" ref="F88" si="23">SUM(F82:F85,F87)</f>
        <v>13516</v>
      </c>
      <c r="G88" s="38">
        <f t="shared" ref="G88" si="24">SUM(G82:G85,G87)</f>
        <v>12557</v>
      </c>
      <c r="H88" s="38">
        <f t="shared" ref="H88" si="25">SUM(H82:H85,H87)</f>
        <v>10461</v>
      </c>
      <c r="I88" s="38">
        <f t="shared" ref="I88" si="26">SUM(I82:I85,I87)</f>
        <v>13788</v>
      </c>
      <c r="J88" s="14">
        <f t="shared" ref="J88" si="27">SUM(J82:J85,J87)</f>
        <v>12967</v>
      </c>
      <c r="K88" s="14">
        <f t="shared" ref="K88" si="28">SUM(K82:K85,K87)</f>
        <v>12140</v>
      </c>
      <c r="L88" s="14">
        <f t="shared" ref="L88" si="29">SUM(L82:L85,L87)</f>
        <v>14448</v>
      </c>
      <c r="M88" s="14">
        <f t="shared" ref="M88" si="30">SUM(M82:M85,M87)</f>
        <v>13961</v>
      </c>
      <c r="N88" s="14">
        <f t="shared" ref="N88" si="31">SUM(N82:N85,N87)</f>
        <v>15765</v>
      </c>
    </row>
    <row r="106" spans="12:12" x14ac:dyDescent="0.25">
      <c r="L106" s="23"/>
    </row>
  </sheetData>
  <mergeCells count="41">
    <mergeCell ref="A33:A39"/>
    <mergeCell ref="B33:N33"/>
    <mergeCell ref="B38:N38"/>
    <mergeCell ref="A2:N2"/>
    <mergeCell ref="A4:A10"/>
    <mergeCell ref="B4:N4"/>
    <mergeCell ref="B9:N9"/>
    <mergeCell ref="A14:B14"/>
    <mergeCell ref="A15:A21"/>
    <mergeCell ref="B15:N15"/>
    <mergeCell ref="B20:N20"/>
    <mergeCell ref="A23:B23"/>
    <mergeCell ref="A24:A30"/>
    <mergeCell ref="B24:N24"/>
    <mergeCell ref="B29:N29"/>
    <mergeCell ref="A32:B32"/>
    <mergeCell ref="A65:A71"/>
    <mergeCell ref="B65:N65"/>
    <mergeCell ref="B70:N70"/>
    <mergeCell ref="A40:B40"/>
    <mergeCell ref="A41:A47"/>
    <mergeCell ref="B41:N41"/>
    <mergeCell ref="B46:N46"/>
    <mergeCell ref="A48:B48"/>
    <mergeCell ref="A49:A55"/>
    <mergeCell ref="B49:N49"/>
    <mergeCell ref="B54:N54"/>
    <mergeCell ref="A56:B56"/>
    <mergeCell ref="A57:A63"/>
    <mergeCell ref="B57:N57"/>
    <mergeCell ref="B62:N62"/>
    <mergeCell ref="A64:B64"/>
    <mergeCell ref="A88:B88"/>
    <mergeCell ref="A72:B72"/>
    <mergeCell ref="A73:A79"/>
    <mergeCell ref="B73:N73"/>
    <mergeCell ref="B78:N78"/>
    <mergeCell ref="A80:B80"/>
    <mergeCell ref="A81:A87"/>
    <mergeCell ref="B81:N81"/>
    <mergeCell ref="B86:N8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85" zoomScaleNormal="85" workbookViewId="0">
      <pane xSplit="2" ySplit="3" topLeftCell="L5" activePane="bottomRight" state="frozen"/>
      <selection pane="topRight" activeCell="C1" sqref="C1"/>
      <selection pane="bottomLeft" activeCell="A4" sqref="A4"/>
      <selection pane="bottomRight" activeCell="M56" sqref="M56"/>
    </sheetView>
  </sheetViews>
  <sheetFormatPr defaultRowHeight="15" x14ac:dyDescent="0.25"/>
  <cols>
    <col min="1" max="1" width="22.28515625" style="42" customWidth="1"/>
    <col min="2" max="2" width="10.28515625" style="42" customWidth="1"/>
    <col min="3" max="3" width="14.85546875" style="42" customWidth="1"/>
    <col min="4" max="4" width="14.7109375" style="52" customWidth="1"/>
    <col min="5" max="5" width="14.7109375" style="42" customWidth="1"/>
    <col min="6" max="6" width="16" style="42" customWidth="1"/>
    <col min="7" max="7" width="14.5703125" style="42" customWidth="1"/>
    <col min="8" max="8" width="16.140625" style="42" customWidth="1"/>
    <col min="9" max="9" width="16.7109375" style="42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6" max="16" width="11.42578125" bestFit="1" customWidth="1"/>
    <col min="17" max="17" width="11.28515625" customWidth="1"/>
  </cols>
  <sheetData>
    <row r="1" spans="1:17" x14ac:dyDescent="0.25">
      <c r="A1" s="31"/>
      <c r="B1" s="31"/>
      <c r="C1" s="31"/>
      <c r="D1" s="31"/>
      <c r="E1" s="31"/>
      <c r="F1" s="31"/>
      <c r="G1" s="31"/>
      <c r="H1" s="31"/>
      <c r="I1" s="31"/>
      <c r="J1" s="16"/>
      <c r="K1" s="16"/>
      <c r="L1" s="16"/>
      <c r="M1" s="16"/>
      <c r="N1" s="16"/>
    </row>
    <row r="2" spans="1:17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42.75" x14ac:dyDescent="0.25">
      <c r="A3" s="32" t="s">
        <v>0</v>
      </c>
      <c r="B3" s="33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7" x14ac:dyDescent="0.25">
      <c r="A4" s="78" t="s">
        <v>60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7" x14ac:dyDescent="0.25">
      <c r="A5" s="79"/>
      <c r="B5" s="35" t="s">
        <v>14</v>
      </c>
      <c r="C5" s="36">
        <f>100762229+747528</f>
        <v>101509757</v>
      </c>
      <c r="D5" s="36">
        <v>96222320</v>
      </c>
      <c r="E5" s="36">
        <v>98457892</v>
      </c>
      <c r="F5" s="36">
        <v>90026340</v>
      </c>
      <c r="G5" s="36">
        <v>85591885</v>
      </c>
      <c r="H5" s="36">
        <v>77132725</v>
      </c>
      <c r="I5" s="36">
        <v>80725139</v>
      </c>
      <c r="J5" s="13">
        <v>82885799</v>
      </c>
      <c r="K5" s="13">
        <v>80954725</v>
      </c>
      <c r="L5" s="13">
        <v>88602604</v>
      </c>
      <c r="M5" s="13">
        <v>96767986</v>
      </c>
      <c r="N5" s="13">
        <v>101722656</v>
      </c>
      <c r="Q5" s="23"/>
    </row>
    <row r="6" spans="1:17" x14ac:dyDescent="0.25">
      <c r="A6" s="79"/>
      <c r="B6" s="35" t="s">
        <v>15</v>
      </c>
      <c r="C6" s="36">
        <v>20106135</v>
      </c>
      <c r="D6" s="36">
        <v>20246154</v>
      </c>
      <c r="E6" s="36">
        <v>22021478</v>
      </c>
      <c r="F6" s="36">
        <v>18617005</v>
      </c>
      <c r="G6" s="36">
        <v>16737943</v>
      </c>
      <c r="H6" s="36">
        <v>15012345</v>
      </c>
      <c r="I6" s="36">
        <v>16444672</v>
      </c>
      <c r="J6" s="13">
        <v>16090913</v>
      </c>
      <c r="K6" s="13">
        <v>16264047</v>
      </c>
      <c r="L6" s="13">
        <v>18600148</v>
      </c>
      <c r="M6" s="13">
        <v>20916336</v>
      </c>
      <c r="N6" s="13">
        <v>23909691</v>
      </c>
      <c r="Q6" s="23"/>
    </row>
    <row r="7" spans="1:17" x14ac:dyDescent="0.25">
      <c r="A7" s="79"/>
      <c r="B7" s="35" t="s">
        <v>16</v>
      </c>
      <c r="C7" s="36">
        <v>21106</v>
      </c>
      <c r="D7" s="36">
        <v>23746</v>
      </c>
      <c r="E7" s="36">
        <v>8506</v>
      </c>
      <c r="F7" s="36">
        <v>12454</v>
      </c>
      <c r="G7" s="36">
        <v>26821</v>
      </c>
      <c r="H7" s="36">
        <v>34539</v>
      </c>
      <c r="I7" s="36">
        <v>30847</v>
      </c>
      <c r="J7" s="13">
        <v>27398</v>
      </c>
      <c r="K7" s="13">
        <v>4490</v>
      </c>
      <c r="L7" s="13">
        <v>4873</v>
      </c>
      <c r="M7" s="13">
        <v>15927</v>
      </c>
      <c r="N7" s="13">
        <v>32205</v>
      </c>
      <c r="Q7" s="23"/>
    </row>
    <row r="8" spans="1:17" x14ac:dyDescent="0.25">
      <c r="A8" s="79"/>
      <c r="B8" s="35" t="s">
        <v>17</v>
      </c>
      <c r="C8" s="36">
        <f>94+484</f>
        <v>578</v>
      </c>
      <c r="D8" s="36">
        <v>504</v>
      </c>
      <c r="E8" s="36">
        <v>483</v>
      </c>
      <c r="F8" s="36">
        <v>386</v>
      </c>
      <c r="G8" s="36">
        <v>314</v>
      </c>
      <c r="H8" s="36">
        <v>230</v>
      </c>
      <c r="I8" s="36">
        <v>226</v>
      </c>
      <c r="J8" s="13">
        <v>268</v>
      </c>
      <c r="K8" s="13">
        <v>361</v>
      </c>
      <c r="L8" s="13">
        <v>459</v>
      </c>
      <c r="M8" s="13">
        <v>507</v>
      </c>
      <c r="N8" s="13">
        <v>574</v>
      </c>
      <c r="Q8" s="23"/>
    </row>
    <row r="9" spans="1:17" x14ac:dyDescent="0.25">
      <c r="A9" s="79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  <c r="Q9" s="23"/>
    </row>
    <row r="10" spans="1:17" x14ac:dyDescent="0.25">
      <c r="A10" s="79"/>
      <c r="B10" s="35" t="s">
        <v>14</v>
      </c>
      <c r="C10" s="36"/>
      <c r="D10" s="36"/>
      <c r="E10" s="36"/>
      <c r="F10" s="36"/>
      <c r="G10" s="36"/>
      <c r="H10" s="36"/>
      <c r="I10" s="36"/>
      <c r="J10" s="13"/>
      <c r="K10" s="13"/>
      <c r="L10" s="13"/>
      <c r="M10" s="13"/>
      <c r="N10" s="13"/>
      <c r="Q10" s="23"/>
    </row>
    <row r="11" spans="1:17" x14ac:dyDescent="0.25">
      <c r="A11" s="58"/>
      <c r="B11" s="35" t="s">
        <v>15</v>
      </c>
      <c r="C11" s="36"/>
      <c r="D11" s="36"/>
      <c r="E11" s="36"/>
      <c r="F11" s="36"/>
      <c r="G11" s="36"/>
      <c r="H11" s="36"/>
      <c r="I11" s="36"/>
      <c r="J11" s="13"/>
      <c r="K11" s="13"/>
      <c r="L11" s="13"/>
      <c r="M11" s="13"/>
      <c r="N11" s="13"/>
      <c r="Q11" s="23"/>
    </row>
    <row r="12" spans="1:17" x14ac:dyDescent="0.25">
      <c r="A12" s="58"/>
      <c r="B12" s="35" t="s">
        <v>46</v>
      </c>
      <c r="C12" s="36"/>
      <c r="D12" s="36"/>
      <c r="E12" s="36"/>
      <c r="F12" s="36"/>
      <c r="G12" s="36"/>
      <c r="H12" s="36"/>
      <c r="I12" s="36"/>
      <c r="J12" s="13"/>
      <c r="K12" s="13"/>
      <c r="L12" s="13"/>
      <c r="M12" s="13"/>
      <c r="N12" s="13"/>
      <c r="Q12" s="23"/>
    </row>
    <row r="13" spans="1:17" x14ac:dyDescent="0.25">
      <c r="A13" s="58"/>
      <c r="B13" s="35" t="s">
        <v>17</v>
      </c>
      <c r="C13" s="36">
        <v>1171</v>
      </c>
      <c r="D13" s="36">
        <v>879</v>
      </c>
      <c r="E13" s="36">
        <v>951</v>
      </c>
      <c r="F13" s="36">
        <v>1001</v>
      </c>
      <c r="G13" s="36">
        <v>949</v>
      </c>
      <c r="H13" s="36">
        <v>850</v>
      </c>
      <c r="I13" s="36">
        <v>861</v>
      </c>
      <c r="J13" s="13">
        <v>897</v>
      </c>
      <c r="K13" s="13">
        <v>692</v>
      </c>
      <c r="L13" s="13">
        <v>970</v>
      </c>
      <c r="M13" s="13">
        <v>967</v>
      </c>
      <c r="N13" s="13">
        <v>1209</v>
      </c>
      <c r="Q13" s="23"/>
    </row>
    <row r="14" spans="1:17" x14ac:dyDescent="0.25">
      <c r="A14" s="76" t="s">
        <v>18</v>
      </c>
      <c r="B14" s="77"/>
      <c r="C14" s="38">
        <f>SUM(C5:C8,C10:C13)</f>
        <v>121638747</v>
      </c>
      <c r="D14" s="38">
        <f t="shared" ref="D14:N14" si="0">SUM(D5:D8,D10:D13)</f>
        <v>116493603</v>
      </c>
      <c r="E14" s="38">
        <f t="shared" si="0"/>
        <v>120489310</v>
      </c>
      <c r="F14" s="38">
        <f t="shared" si="0"/>
        <v>108657186</v>
      </c>
      <c r="G14" s="38">
        <f t="shared" si="0"/>
        <v>102357912</v>
      </c>
      <c r="H14" s="38">
        <f t="shared" si="0"/>
        <v>92180689</v>
      </c>
      <c r="I14" s="38">
        <f t="shared" si="0"/>
        <v>97201745</v>
      </c>
      <c r="J14" s="38">
        <f t="shared" si="0"/>
        <v>99005275</v>
      </c>
      <c r="K14" s="38">
        <f t="shared" si="0"/>
        <v>97224315</v>
      </c>
      <c r="L14" s="38">
        <f t="shared" si="0"/>
        <v>107209054</v>
      </c>
      <c r="M14" s="38">
        <f t="shared" si="0"/>
        <v>117701723</v>
      </c>
      <c r="N14" s="38">
        <f t="shared" si="0"/>
        <v>125666335</v>
      </c>
      <c r="P14" s="23"/>
      <c r="Q14" s="23"/>
    </row>
    <row r="15" spans="1:17" hidden="1" x14ac:dyDescent="0.25">
      <c r="A15" s="78" t="s">
        <v>25</v>
      </c>
      <c r="B15" s="72" t="s">
        <v>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Q15" s="23"/>
    </row>
    <row r="16" spans="1:17" hidden="1" x14ac:dyDescent="0.25">
      <c r="A16" s="79"/>
      <c r="B16" s="35" t="s">
        <v>14</v>
      </c>
      <c r="C16" s="36"/>
      <c r="D16" s="36"/>
      <c r="E16" s="36"/>
      <c r="F16" s="36"/>
      <c r="G16" s="36"/>
      <c r="H16" s="36"/>
      <c r="I16" s="36"/>
      <c r="J16" s="13"/>
      <c r="K16" s="13"/>
      <c r="L16" s="13"/>
      <c r="M16" s="13"/>
      <c r="N16" s="13"/>
      <c r="Q16" s="23"/>
    </row>
    <row r="17" spans="1:17" hidden="1" x14ac:dyDescent="0.25">
      <c r="A17" s="79"/>
      <c r="B17" s="35" t="s">
        <v>15</v>
      </c>
      <c r="C17" s="36"/>
      <c r="D17" s="36"/>
      <c r="E17" s="36"/>
      <c r="F17" s="36"/>
      <c r="G17" s="36"/>
      <c r="H17" s="36"/>
      <c r="I17" s="36"/>
      <c r="J17" s="13"/>
      <c r="K17" s="13"/>
      <c r="L17" s="13"/>
      <c r="M17" s="13"/>
      <c r="N17" s="13"/>
      <c r="Q17" s="23"/>
    </row>
    <row r="18" spans="1:17" hidden="1" x14ac:dyDescent="0.25">
      <c r="A18" s="79"/>
      <c r="B18" s="35" t="s">
        <v>16</v>
      </c>
      <c r="C18" s="36"/>
      <c r="D18" s="36"/>
      <c r="E18" s="36"/>
      <c r="F18" s="36"/>
      <c r="G18" s="36"/>
      <c r="H18" s="36"/>
      <c r="I18" s="36"/>
      <c r="J18" s="13"/>
      <c r="K18" s="13"/>
      <c r="L18" s="13"/>
      <c r="M18" s="13"/>
      <c r="N18" s="13"/>
      <c r="Q18" s="23"/>
    </row>
    <row r="19" spans="1:17" hidden="1" x14ac:dyDescent="0.25">
      <c r="A19" s="79"/>
      <c r="B19" s="35" t="s">
        <v>17</v>
      </c>
      <c r="C19" s="36"/>
      <c r="D19" s="36"/>
      <c r="E19" s="36"/>
      <c r="F19" s="36"/>
      <c r="G19" s="36"/>
      <c r="H19" s="36"/>
      <c r="I19" s="36"/>
      <c r="J19" s="13"/>
      <c r="K19" s="13"/>
      <c r="L19" s="13"/>
      <c r="M19" s="13"/>
      <c r="N19" s="13"/>
      <c r="Q19" s="23"/>
    </row>
    <row r="20" spans="1:17" hidden="1" x14ac:dyDescent="0.25">
      <c r="A20" s="79"/>
      <c r="B20" s="72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  <c r="Q20" s="23"/>
    </row>
    <row r="21" spans="1:17" hidden="1" x14ac:dyDescent="0.25">
      <c r="A21" s="80"/>
      <c r="B21" s="39" t="s">
        <v>16</v>
      </c>
      <c r="C21" s="36"/>
      <c r="D21" s="36"/>
      <c r="E21" s="36"/>
      <c r="F21" s="36"/>
      <c r="G21" s="36"/>
      <c r="H21" s="36"/>
      <c r="I21" s="36"/>
      <c r="J21" s="13"/>
      <c r="K21" s="13"/>
      <c r="L21" s="13"/>
      <c r="M21" s="13"/>
      <c r="N21" s="13"/>
      <c r="Q21" s="23"/>
    </row>
    <row r="22" spans="1:17" hidden="1" x14ac:dyDescent="0.25">
      <c r="A22" s="58"/>
      <c r="B22" s="39" t="s">
        <v>17</v>
      </c>
      <c r="C22" s="36"/>
      <c r="D22" s="36"/>
      <c r="E22" s="36"/>
      <c r="F22" s="36"/>
      <c r="G22" s="36"/>
      <c r="H22" s="36"/>
      <c r="I22" s="36"/>
      <c r="J22" s="13"/>
      <c r="K22" s="13"/>
      <c r="L22" s="13"/>
      <c r="M22" s="13"/>
      <c r="N22" s="13"/>
      <c r="Q22" s="23"/>
    </row>
    <row r="23" spans="1:17" hidden="1" x14ac:dyDescent="0.25">
      <c r="A23" s="76" t="s">
        <v>18</v>
      </c>
      <c r="B23" s="77"/>
      <c r="C23" s="38">
        <f>SUM(C16:C19,C21:C22)</f>
        <v>0</v>
      </c>
      <c r="D23" s="38">
        <f t="shared" ref="D23:H23" si="1">SUM(D16:D19,D21:D22)</f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>SUM(I16:I19,I21:I22)</f>
        <v>0</v>
      </c>
      <c r="J23" s="14">
        <f>SUM(J16:J19,J21:J22)</f>
        <v>0</v>
      </c>
      <c r="K23" s="14">
        <f t="shared" ref="K23:N23" si="2">SUM(K16:K19,K21:K22)</f>
        <v>0</v>
      </c>
      <c r="L23" s="14">
        <f t="shared" si="2"/>
        <v>0</v>
      </c>
      <c r="M23" s="14">
        <f t="shared" si="2"/>
        <v>0</v>
      </c>
      <c r="N23" s="14">
        <f t="shared" si="2"/>
        <v>0</v>
      </c>
      <c r="Q23" s="23"/>
    </row>
    <row r="24" spans="1:17" hidden="1" x14ac:dyDescent="0.25">
      <c r="A24" s="78" t="s">
        <v>26</v>
      </c>
      <c r="B24" s="72" t="s">
        <v>19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Q24" s="23"/>
    </row>
    <row r="25" spans="1:17" hidden="1" x14ac:dyDescent="0.25">
      <c r="A25" s="79"/>
      <c r="B25" s="35" t="s">
        <v>14</v>
      </c>
      <c r="C25" s="36"/>
      <c r="D25" s="36"/>
      <c r="E25" s="36"/>
      <c r="F25" s="36"/>
      <c r="G25" s="36"/>
      <c r="H25" s="36"/>
      <c r="I25" s="36"/>
      <c r="J25" s="13"/>
      <c r="K25" s="13"/>
      <c r="L25" s="13"/>
      <c r="M25" s="13"/>
      <c r="N25" s="13"/>
      <c r="Q25" s="23"/>
    </row>
    <row r="26" spans="1:17" hidden="1" x14ac:dyDescent="0.25">
      <c r="A26" s="79"/>
      <c r="B26" s="35" t="s">
        <v>15</v>
      </c>
      <c r="C26" s="36" t="e">
        <f>#REF!*'2022'!AS26</f>
        <v>#REF!</v>
      </c>
      <c r="D26" s="36"/>
      <c r="E26" s="36"/>
      <c r="F26" s="36"/>
      <c r="G26" s="36"/>
      <c r="H26" s="36"/>
      <c r="I26" s="36"/>
      <c r="J26" s="13"/>
      <c r="K26" s="13"/>
      <c r="L26" s="13"/>
      <c r="M26" s="13"/>
      <c r="N26" s="13"/>
      <c r="P26" s="23"/>
      <c r="Q26" s="23"/>
    </row>
    <row r="27" spans="1:17" hidden="1" x14ac:dyDescent="0.25">
      <c r="A27" s="79"/>
      <c r="B27" s="35" t="s">
        <v>16</v>
      </c>
      <c r="C27" s="36" t="e">
        <f>#REF!*'2022'!AS27</f>
        <v>#REF!</v>
      </c>
      <c r="D27" s="36"/>
      <c r="E27" s="36"/>
      <c r="F27" s="36"/>
      <c r="G27" s="36"/>
      <c r="H27" s="36"/>
      <c r="I27" s="36"/>
      <c r="J27" s="13"/>
      <c r="K27" s="13"/>
      <c r="L27" s="13"/>
      <c r="M27" s="13"/>
      <c r="N27" s="13"/>
      <c r="Q27" s="23"/>
    </row>
    <row r="28" spans="1:17" hidden="1" x14ac:dyDescent="0.25">
      <c r="A28" s="79"/>
      <c r="B28" s="35" t="s">
        <v>17</v>
      </c>
      <c r="C28" s="36" t="e">
        <f>#REF!*'2022'!AS28</f>
        <v>#REF!</v>
      </c>
      <c r="D28" s="36"/>
      <c r="E28" s="36"/>
      <c r="F28" s="36"/>
      <c r="G28" s="36"/>
      <c r="H28" s="36"/>
      <c r="I28" s="36"/>
      <c r="J28" s="13"/>
      <c r="K28" s="13"/>
      <c r="L28" s="13"/>
      <c r="M28" s="13"/>
      <c r="N28" s="13"/>
      <c r="Q28" s="23"/>
    </row>
    <row r="29" spans="1:17" hidden="1" x14ac:dyDescent="0.25">
      <c r="A29" s="79"/>
      <c r="B29" s="72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P29" s="23"/>
      <c r="Q29" s="23"/>
    </row>
    <row r="30" spans="1:17" hidden="1" x14ac:dyDescent="0.25">
      <c r="A30" s="79"/>
      <c r="B30" s="35" t="s">
        <v>16</v>
      </c>
      <c r="C30" s="36" t="e">
        <f>#REF!*'2022'!AS30</f>
        <v>#REF!</v>
      </c>
      <c r="D30" s="36"/>
      <c r="E30" s="36"/>
      <c r="F30" s="36"/>
      <c r="G30" s="36"/>
      <c r="H30" s="36"/>
      <c r="I30" s="36"/>
      <c r="J30" s="13"/>
      <c r="K30" s="13"/>
      <c r="L30" s="13"/>
      <c r="M30" s="13"/>
      <c r="N30" s="13"/>
      <c r="Q30" s="23"/>
    </row>
    <row r="31" spans="1:17" hidden="1" x14ac:dyDescent="0.25">
      <c r="A31" s="58"/>
      <c r="B31" s="35" t="s">
        <v>17</v>
      </c>
      <c r="C31" s="36" t="e">
        <f>#REF!*'2022'!AS31</f>
        <v>#REF!</v>
      </c>
      <c r="D31" s="36"/>
      <c r="E31" s="36"/>
      <c r="F31" s="36"/>
      <c r="G31" s="36"/>
      <c r="H31" s="36"/>
      <c r="I31" s="36"/>
      <c r="J31" s="13"/>
      <c r="K31" s="13"/>
      <c r="L31" s="13"/>
      <c r="M31" s="13"/>
      <c r="N31" s="13"/>
      <c r="Q31" s="23"/>
    </row>
    <row r="32" spans="1:17" s="30" customFormat="1" hidden="1" x14ac:dyDescent="0.25">
      <c r="A32" s="76" t="s">
        <v>18</v>
      </c>
      <c r="B32" s="77"/>
      <c r="C32" s="38" t="e">
        <f>SUM(C25:C28,C30:C31)</f>
        <v>#REF!</v>
      </c>
      <c r="D32" s="38">
        <f t="shared" ref="D32:F32" si="3">SUM(D25:D28,D30:D31)</f>
        <v>0</v>
      </c>
      <c r="E32" s="38">
        <f t="shared" si="3"/>
        <v>0</v>
      </c>
      <c r="F32" s="38">
        <f t="shared" si="3"/>
        <v>0</v>
      </c>
      <c r="G32" s="38">
        <f>SUM(G25:G28,G30:G31)</f>
        <v>0</v>
      </c>
      <c r="H32" s="38">
        <f>SUM(H25:H28,H30:H31)</f>
        <v>0</v>
      </c>
      <c r="I32" s="38">
        <f>SUM(I25:I28,I30:I31)</f>
        <v>0</v>
      </c>
      <c r="J32" s="14">
        <f>SUM(J25:J28,J30:J31)</f>
        <v>0</v>
      </c>
      <c r="K32" s="14">
        <f t="shared" ref="K32:N32" si="4">SUM(K25:K28,K30:K31)</f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Q32" s="50"/>
    </row>
    <row r="33" spans="1:17" s="30" customFormat="1" x14ac:dyDescent="0.25">
      <c r="A33" s="78" t="s">
        <v>43</v>
      </c>
      <c r="B33" s="72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Q33" s="50"/>
    </row>
    <row r="34" spans="1:17" s="30" customFormat="1" x14ac:dyDescent="0.25">
      <c r="A34" s="79"/>
      <c r="B34" s="35" t="s">
        <v>14</v>
      </c>
      <c r="C34" s="36"/>
      <c r="D34" s="36"/>
      <c r="F34" s="36"/>
      <c r="G34" s="36"/>
      <c r="H34" s="36"/>
      <c r="I34" s="36"/>
      <c r="J34" s="13"/>
      <c r="K34" s="13"/>
      <c r="L34" s="13"/>
      <c r="M34" s="13"/>
      <c r="N34" s="21"/>
      <c r="Q34" s="50"/>
    </row>
    <row r="35" spans="1:17" s="30" customFormat="1" x14ac:dyDescent="0.25">
      <c r="A35" s="79"/>
      <c r="B35" s="35" t="s">
        <v>15</v>
      </c>
      <c r="C35" s="36"/>
      <c r="D35" s="36"/>
      <c r="E35" s="36"/>
      <c r="F35" s="36"/>
      <c r="G35" s="36"/>
      <c r="H35" s="36"/>
      <c r="I35" s="36"/>
      <c r="J35" s="13"/>
      <c r="K35" s="13"/>
      <c r="L35" s="13"/>
      <c r="M35" s="13"/>
      <c r="N35" s="21"/>
      <c r="Q35" s="50"/>
    </row>
    <row r="36" spans="1:17" s="30" customFormat="1" x14ac:dyDescent="0.25">
      <c r="A36" s="79"/>
      <c r="B36" s="35" t="s">
        <v>16</v>
      </c>
      <c r="C36" s="36">
        <v>250443</v>
      </c>
      <c r="D36" s="36">
        <v>232229</v>
      </c>
      <c r="E36" s="36">
        <v>193541</v>
      </c>
      <c r="F36" s="36">
        <v>153425</v>
      </c>
      <c r="G36" s="36">
        <v>100019</v>
      </c>
      <c r="H36" s="36">
        <v>93495.000000000015</v>
      </c>
      <c r="I36" s="36">
        <v>103055</v>
      </c>
      <c r="J36" s="13">
        <v>89108</v>
      </c>
      <c r="K36" s="13">
        <v>133352</v>
      </c>
      <c r="L36" s="13">
        <v>180591</v>
      </c>
      <c r="M36" s="13">
        <v>200330</v>
      </c>
      <c r="N36" s="13">
        <v>241235</v>
      </c>
      <c r="Q36" s="50"/>
    </row>
    <row r="37" spans="1:17" s="30" customFormat="1" x14ac:dyDescent="0.25">
      <c r="A37" s="79"/>
      <c r="B37" s="35" t="s">
        <v>17</v>
      </c>
      <c r="C37" s="36">
        <v>5816</v>
      </c>
      <c r="D37" s="36">
        <v>6573</v>
      </c>
      <c r="E37" s="36">
        <v>5873</v>
      </c>
      <c r="F37" s="36">
        <v>3580</v>
      </c>
      <c r="G37" s="36">
        <v>2960</v>
      </c>
      <c r="H37" s="36">
        <v>2520</v>
      </c>
      <c r="I37" s="36">
        <v>2928</v>
      </c>
      <c r="J37" s="13">
        <v>2520</v>
      </c>
      <c r="K37" s="13">
        <v>2850</v>
      </c>
      <c r="L37" s="13">
        <v>5912</v>
      </c>
      <c r="M37" s="13">
        <v>6596</v>
      </c>
      <c r="N37" s="13">
        <v>6883</v>
      </c>
      <c r="Q37" s="50"/>
    </row>
    <row r="38" spans="1:17" s="30" customFormat="1" x14ac:dyDescent="0.25">
      <c r="A38" s="79"/>
      <c r="B38" s="72" t="s">
        <v>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</row>
    <row r="39" spans="1:17" s="30" customFormat="1" x14ac:dyDescent="0.25">
      <c r="A39" s="79"/>
      <c r="B39" s="39" t="s">
        <v>16</v>
      </c>
      <c r="C39" s="36">
        <v>2300</v>
      </c>
      <c r="D39" s="36">
        <v>1980</v>
      </c>
      <c r="E39" s="36">
        <v>1980</v>
      </c>
      <c r="F39" s="36">
        <v>2140</v>
      </c>
      <c r="G39" s="36">
        <v>2440</v>
      </c>
      <c r="H39" s="36">
        <v>2500</v>
      </c>
      <c r="I39" s="36">
        <v>2320</v>
      </c>
      <c r="J39" s="13">
        <v>2260</v>
      </c>
      <c r="K39" s="13">
        <v>2760</v>
      </c>
      <c r="L39" s="13">
        <v>2400</v>
      </c>
      <c r="M39" s="13">
        <v>2560</v>
      </c>
      <c r="N39" s="13">
        <v>2680</v>
      </c>
    </row>
    <row r="40" spans="1:17" s="30" customFormat="1" x14ac:dyDescent="0.25">
      <c r="A40" s="76" t="s">
        <v>18</v>
      </c>
      <c r="B40" s="77"/>
      <c r="C40" s="38">
        <f>SUM(C34:C37,C39)</f>
        <v>258559</v>
      </c>
      <c r="D40" s="38">
        <f t="shared" ref="D40:N40" si="5">SUM(D34:D37,D39)</f>
        <v>240782</v>
      </c>
      <c r="E40" s="38">
        <f>SUM(E35:E37,E39)</f>
        <v>201394</v>
      </c>
      <c r="F40" s="38">
        <f t="shared" si="5"/>
        <v>159145</v>
      </c>
      <c r="G40" s="38">
        <f>SUM(G34:G37,G39)</f>
        <v>105419</v>
      </c>
      <c r="H40" s="38">
        <f t="shared" si="5"/>
        <v>98515.000000000015</v>
      </c>
      <c r="I40" s="38">
        <f t="shared" si="5"/>
        <v>108303</v>
      </c>
      <c r="J40" s="14">
        <f>SUM(J34:J37,J39)</f>
        <v>93888</v>
      </c>
      <c r="K40" s="14">
        <f t="shared" si="5"/>
        <v>138962</v>
      </c>
      <c r="L40" s="14">
        <f t="shared" si="5"/>
        <v>188903</v>
      </c>
      <c r="M40" s="14">
        <f t="shared" si="5"/>
        <v>209486</v>
      </c>
      <c r="N40" s="14">
        <f t="shared" si="5"/>
        <v>250798</v>
      </c>
    </row>
    <row r="41" spans="1:17" s="30" customFormat="1" hidden="1" x14ac:dyDescent="0.25">
      <c r="A41" s="78" t="s">
        <v>50</v>
      </c>
      <c r="B41" s="72" t="s">
        <v>19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7" s="30" customFormat="1" hidden="1" x14ac:dyDescent="0.25">
      <c r="A42" s="79"/>
      <c r="B42" s="35" t="s">
        <v>14</v>
      </c>
      <c r="C42" s="36"/>
      <c r="D42" s="36"/>
      <c r="E42" s="36"/>
      <c r="F42" s="36"/>
      <c r="G42" s="36"/>
      <c r="H42" s="36"/>
      <c r="I42" s="36"/>
      <c r="J42" s="13"/>
      <c r="K42" s="13"/>
      <c r="L42" s="13"/>
      <c r="M42" s="13"/>
      <c r="N42" s="21"/>
    </row>
    <row r="43" spans="1:17" s="30" customFormat="1" hidden="1" x14ac:dyDescent="0.25">
      <c r="A43" s="79"/>
      <c r="B43" s="35" t="s">
        <v>15</v>
      </c>
      <c r="C43" s="36"/>
      <c r="D43" s="36"/>
      <c r="E43" s="36"/>
      <c r="F43" s="36"/>
      <c r="G43" s="36"/>
      <c r="H43" s="36"/>
      <c r="I43" s="36"/>
      <c r="J43" s="13"/>
      <c r="K43" s="13"/>
      <c r="L43" s="13"/>
      <c r="M43" s="13"/>
      <c r="N43" s="21"/>
    </row>
    <row r="44" spans="1:17" s="30" customFormat="1" hidden="1" x14ac:dyDescent="0.25">
      <c r="A44" s="79"/>
      <c r="B44" s="35" t="s">
        <v>16</v>
      </c>
      <c r="C44" s="36"/>
      <c r="D44" s="36"/>
      <c r="E44" s="36"/>
      <c r="F44" s="36"/>
      <c r="G44" s="36"/>
      <c r="H44" s="36"/>
      <c r="I44" s="36"/>
      <c r="J44" s="13"/>
      <c r="K44" s="13"/>
      <c r="L44" s="13"/>
      <c r="M44" s="13"/>
      <c r="N44" s="21"/>
    </row>
    <row r="45" spans="1:17" s="30" customFormat="1" hidden="1" x14ac:dyDescent="0.25">
      <c r="A45" s="79"/>
      <c r="B45" s="35" t="s">
        <v>17</v>
      </c>
      <c r="C45" s="36"/>
      <c r="D45" s="36"/>
      <c r="E45" s="36"/>
      <c r="F45" s="36"/>
      <c r="G45" s="36"/>
      <c r="H45" s="36"/>
      <c r="I45" s="36"/>
      <c r="J45" s="13"/>
      <c r="K45" s="13"/>
      <c r="L45" s="13"/>
      <c r="M45" s="13"/>
      <c r="N45" s="13"/>
      <c r="Q45" s="50"/>
    </row>
    <row r="46" spans="1:17" s="30" customFormat="1" hidden="1" x14ac:dyDescent="0.25">
      <c r="A46" s="79"/>
      <c r="B46" s="72" t="s">
        <v>20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4"/>
      <c r="Q46" s="50"/>
    </row>
    <row r="47" spans="1:17" s="30" customFormat="1" hidden="1" x14ac:dyDescent="0.25">
      <c r="A47" s="79"/>
      <c r="B47" s="35" t="s">
        <v>17</v>
      </c>
      <c r="C47" s="36" t="e">
        <f>#REF!*'2022'!AS47</f>
        <v>#REF!</v>
      </c>
      <c r="D47" s="36"/>
      <c r="E47" s="36"/>
      <c r="F47" s="36"/>
      <c r="G47" s="36"/>
      <c r="H47" s="36"/>
      <c r="I47" s="36"/>
      <c r="J47" s="13"/>
      <c r="K47" s="13"/>
      <c r="L47" s="13"/>
      <c r="M47" s="13"/>
      <c r="N47" s="21"/>
      <c r="Q47" s="50"/>
    </row>
    <row r="48" spans="1:17" s="30" customFormat="1" hidden="1" x14ac:dyDescent="0.25">
      <c r="A48" s="76" t="s">
        <v>18</v>
      </c>
      <c r="B48" s="77"/>
      <c r="C48" s="38" t="e">
        <f>SUM(C42:C45,C47)</f>
        <v>#REF!</v>
      </c>
      <c r="D48" s="38">
        <f t="shared" ref="D48:N48" si="6">SUM(D42:D45,D47)</f>
        <v>0</v>
      </c>
      <c r="E48" s="38">
        <f>SUM(E42:E45,E47)</f>
        <v>0</v>
      </c>
      <c r="F48" s="38">
        <f t="shared" si="6"/>
        <v>0</v>
      </c>
      <c r="G48" s="38">
        <f>SUM(G42:G45,G47)</f>
        <v>0</v>
      </c>
      <c r="H48" s="38">
        <f t="shared" si="6"/>
        <v>0</v>
      </c>
      <c r="I48" s="38">
        <f>SUM(I42:I45,I47)</f>
        <v>0</v>
      </c>
      <c r="J48" s="14">
        <f>SUM(J42:J45,J47)</f>
        <v>0</v>
      </c>
      <c r="K48" s="14">
        <f t="shared" si="6"/>
        <v>0</v>
      </c>
      <c r="L48" s="14">
        <f t="shared" si="6"/>
        <v>0</v>
      </c>
      <c r="M48" s="14">
        <f t="shared" si="6"/>
        <v>0</v>
      </c>
      <c r="N48" s="14">
        <f t="shared" si="6"/>
        <v>0</v>
      </c>
      <c r="Q48" s="50"/>
    </row>
    <row r="49" spans="1:17" s="30" customFormat="1" x14ac:dyDescent="0.25">
      <c r="A49" s="78" t="s">
        <v>54</v>
      </c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Q49" s="50"/>
    </row>
    <row r="50" spans="1:17" s="30" customFormat="1" x14ac:dyDescent="0.25">
      <c r="A50" s="79"/>
      <c r="B50" s="35" t="s">
        <v>14</v>
      </c>
      <c r="C50" s="36"/>
      <c r="D50" s="36"/>
      <c r="E50" s="36"/>
      <c r="F50" s="36"/>
      <c r="G50" s="36"/>
      <c r="H50" s="36"/>
      <c r="I50" s="36"/>
      <c r="J50" s="13"/>
      <c r="K50" s="13"/>
      <c r="L50" s="13"/>
      <c r="M50" s="13"/>
      <c r="N50" s="21"/>
      <c r="Q50" s="50"/>
    </row>
    <row r="51" spans="1:17" s="30" customFormat="1" x14ac:dyDescent="0.25">
      <c r="A51" s="79"/>
      <c r="B51" s="35" t="s">
        <v>15</v>
      </c>
      <c r="C51" s="36"/>
      <c r="D51" s="36"/>
      <c r="E51" s="36"/>
      <c r="F51" s="36"/>
      <c r="G51" s="36"/>
      <c r="H51" s="36"/>
      <c r="I51" s="36"/>
      <c r="J51" s="13"/>
      <c r="K51" s="13"/>
      <c r="L51" s="13"/>
      <c r="M51" s="13"/>
      <c r="N51" s="21"/>
      <c r="Q51" s="50"/>
    </row>
    <row r="52" spans="1:17" s="30" customFormat="1" x14ac:dyDescent="0.25">
      <c r="A52" s="79"/>
      <c r="B52" s="35" t="s">
        <v>16</v>
      </c>
      <c r="C52" s="57">
        <f>124090+72427</f>
        <v>196517</v>
      </c>
      <c r="D52" s="57">
        <v>191337</v>
      </c>
      <c r="E52" s="36">
        <v>165245</v>
      </c>
      <c r="F52" s="36">
        <v>160546</v>
      </c>
      <c r="G52" s="36">
        <v>117405</v>
      </c>
      <c r="H52" s="36">
        <v>108661</v>
      </c>
      <c r="I52" s="36">
        <v>79304</v>
      </c>
      <c r="J52" s="13">
        <v>75883</v>
      </c>
      <c r="K52" s="13">
        <v>103794</v>
      </c>
      <c r="L52" s="13">
        <v>133808</v>
      </c>
      <c r="M52" s="13">
        <v>149437</v>
      </c>
      <c r="N52" s="13">
        <v>168743</v>
      </c>
      <c r="Q52" s="50"/>
    </row>
    <row r="53" spans="1:17" s="30" customFormat="1" x14ac:dyDescent="0.25">
      <c r="A53" s="79"/>
      <c r="B53" s="35" t="s">
        <v>17</v>
      </c>
      <c r="C53" s="57">
        <f>8721+9329</f>
        <v>18050</v>
      </c>
      <c r="D53" s="57">
        <v>16061</v>
      </c>
      <c r="E53" s="36">
        <v>15050</v>
      </c>
      <c r="F53" s="36">
        <v>12207</v>
      </c>
      <c r="G53" s="36">
        <v>11420</v>
      </c>
      <c r="H53" s="36">
        <v>11740.000000000002</v>
      </c>
      <c r="I53" s="36">
        <v>8712</v>
      </c>
      <c r="J53" s="13">
        <v>10930</v>
      </c>
      <c r="K53" s="13">
        <v>13436</v>
      </c>
      <c r="L53" s="13">
        <v>12547</v>
      </c>
      <c r="M53" s="13">
        <v>16847</v>
      </c>
      <c r="N53" s="13">
        <v>17512</v>
      </c>
      <c r="Q53" s="50"/>
    </row>
    <row r="54" spans="1:17" s="30" customFormat="1" x14ac:dyDescent="0.25">
      <c r="A54" s="79"/>
      <c r="B54" s="72" t="s">
        <v>20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4"/>
      <c r="Q54" s="50"/>
    </row>
    <row r="55" spans="1:17" s="30" customFormat="1" x14ac:dyDescent="0.25">
      <c r="A55" s="79"/>
      <c r="B55" s="40" t="s">
        <v>20</v>
      </c>
      <c r="C55" s="36"/>
      <c r="D55" s="36"/>
      <c r="E55" s="36"/>
      <c r="F55" s="36">
        <v>1222</v>
      </c>
      <c r="G55" s="36">
        <v>964</v>
      </c>
      <c r="H55" s="36">
        <v>940</v>
      </c>
      <c r="I55" s="36">
        <v>542</v>
      </c>
      <c r="J55" s="13">
        <v>728</v>
      </c>
      <c r="K55" s="13">
        <v>1349</v>
      </c>
      <c r="L55" s="13">
        <v>1663</v>
      </c>
      <c r="M55" s="13">
        <v>1732</v>
      </c>
      <c r="N55" s="21">
        <v>1658</v>
      </c>
      <c r="Q55" s="50"/>
    </row>
    <row r="56" spans="1:17" s="30" customFormat="1" x14ac:dyDescent="0.25">
      <c r="A56" s="76" t="s">
        <v>18</v>
      </c>
      <c r="B56" s="77"/>
      <c r="C56" s="38">
        <f>SUM(C50:C53,C55)</f>
        <v>214567</v>
      </c>
      <c r="D56" s="38">
        <f t="shared" ref="D56:N56" si="7">SUM(D50:D53,D55)</f>
        <v>207398</v>
      </c>
      <c r="E56" s="38">
        <f>SUM(E50:E53,E55)</f>
        <v>180295</v>
      </c>
      <c r="F56" s="38">
        <f t="shared" si="7"/>
        <v>173975</v>
      </c>
      <c r="G56" s="38">
        <f>SUM(G50:G53,G55)</f>
        <v>129789</v>
      </c>
      <c r="H56" s="38">
        <f t="shared" si="7"/>
        <v>121341</v>
      </c>
      <c r="I56" s="38">
        <f>SUM(I50:I53,I55)</f>
        <v>88558</v>
      </c>
      <c r="J56" s="14">
        <f>SUM(J50:J53,J55)</f>
        <v>87541</v>
      </c>
      <c r="K56" s="14">
        <f t="shared" si="7"/>
        <v>118579</v>
      </c>
      <c r="L56" s="14">
        <f t="shared" si="7"/>
        <v>148018</v>
      </c>
      <c r="M56" s="14">
        <f t="shared" si="7"/>
        <v>168016</v>
      </c>
      <c r="N56" s="14">
        <f t="shared" si="7"/>
        <v>187913</v>
      </c>
      <c r="Q56" s="50"/>
    </row>
    <row r="57" spans="1:17" x14ac:dyDescent="0.25">
      <c r="A57" s="78" t="s">
        <v>55</v>
      </c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  <c r="Q57" s="23"/>
    </row>
    <row r="58" spans="1:17" x14ac:dyDescent="0.25">
      <c r="A58" s="79"/>
      <c r="B58" s="35" t="s">
        <v>14</v>
      </c>
      <c r="C58" s="36"/>
      <c r="D58" s="36"/>
      <c r="E58" s="36"/>
      <c r="F58" s="36"/>
      <c r="G58" s="36"/>
      <c r="H58" s="36"/>
      <c r="I58" s="36"/>
      <c r="J58" s="13"/>
      <c r="K58" s="13"/>
      <c r="L58" s="13"/>
      <c r="M58" s="13"/>
      <c r="N58" s="21"/>
      <c r="Q58" s="23"/>
    </row>
    <row r="59" spans="1:17" x14ac:dyDescent="0.25">
      <c r="A59" s="79"/>
      <c r="B59" s="35" t="s">
        <v>15</v>
      </c>
      <c r="C59" s="36"/>
      <c r="D59" s="36"/>
      <c r="E59" s="36"/>
      <c r="F59" s="36"/>
      <c r="G59" s="36"/>
      <c r="H59" s="36"/>
      <c r="I59" s="36"/>
      <c r="J59" s="13"/>
      <c r="K59" s="13"/>
      <c r="L59" s="13"/>
      <c r="M59" s="13"/>
      <c r="N59" s="21"/>
      <c r="Q59" s="23"/>
    </row>
    <row r="60" spans="1:17" x14ac:dyDescent="0.25">
      <c r="A60" s="79"/>
      <c r="B60" s="35" t="s">
        <v>16</v>
      </c>
      <c r="C60" s="36"/>
      <c r="D60" s="36"/>
      <c r="E60" s="36"/>
      <c r="F60" s="36"/>
      <c r="G60" s="36"/>
      <c r="H60" s="36"/>
      <c r="I60" s="36"/>
      <c r="J60" s="13"/>
      <c r="K60" s="13"/>
      <c r="L60" s="13"/>
      <c r="M60" s="13"/>
      <c r="N60" s="21"/>
      <c r="Q60" s="23"/>
    </row>
    <row r="61" spans="1:17" x14ac:dyDescent="0.25">
      <c r="A61" s="79"/>
      <c r="B61" s="35" t="s">
        <v>17</v>
      </c>
      <c r="C61" s="36">
        <v>1685</v>
      </c>
      <c r="D61" s="36">
        <v>1470</v>
      </c>
      <c r="E61" s="36">
        <v>1593</v>
      </c>
      <c r="F61" s="36">
        <v>1930</v>
      </c>
      <c r="G61" s="36">
        <v>2175</v>
      </c>
      <c r="H61" s="36">
        <v>1930</v>
      </c>
      <c r="I61" s="36">
        <v>2543</v>
      </c>
      <c r="J61" s="13">
        <v>1991</v>
      </c>
      <c r="K61" s="13">
        <v>2788</v>
      </c>
      <c r="L61" s="13">
        <v>4748</v>
      </c>
      <c r="M61" s="13">
        <v>3921</v>
      </c>
      <c r="N61" s="13">
        <v>3584</v>
      </c>
      <c r="Q61" s="23"/>
    </row>
    <row r="62" spans="1:17" x14ac:dyDescent="0.25">
      <c r="A62" s="79"/>
      <c r="B62" s="72" t="s">
        <v>20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4"/>
    </row>
    <row r="63" spans="1:17" x14ac:dyDescent="0.25">
      <c r="A63" s="79"/>
      <c r="B63" s="40"/>
      <c r="C63" s="36"/>
      <c r="D63" s="36"/>
      <c r="E63" s="36"/>
      <c r="F63" s="36"/>
      <c r="G63" s="36"/>
      <c r="H63" s="36"/>
      <c r="I63" s="36"/>
      <c r="J63" s="13"/>
      <c r="K63" s="13"/>
      <c r="L63" s="13"/>
      <c r="M63" s="13"/>
      <c r="N63" s="21"/>
    </row>
    <row r="64" spans="1:17" x14ac:dyDescent="0.25">
      <c r="A64" s="76" t="s">
        <v>18</v>
      </c>
      <c r="B64" s="77"/>
      <c r="C64" s="38">
        <f>SUM(C58:C61,C63)</f>
        <v>1685</v>
      </c>
      <c r="D64" s="38">
        <f t="shared" ref="D64:N64" si="8">SUM(D58:D61,D63)</f>
        <v>1470</v>
      </c>
      <c r="E64" s="38">
        <f t="shared" si="8"/>
        <v>1593</v>
      </c>
      <c r="F64" s="38">
        <f t="shared" si="8"/>
        <v>1930</v>
      </c>
      <c r="G64" s="38">
        <f t="shared" si="8"/>
        <v>2175</v>
      </c>
      <c r="H64" s="38">
        <f t="shared" si="8"/>
        <v>1930</v>
      </c>
      <c r="I64" s="38">
        <f t="shared" si="8"/>
        <v>2543</v>
      </c>
      <c r="J64" s="14">
        <f t="shared" si="8"/>
        <v>1991</v>
      </c>
      <c r="K64" s="14">
        <f t="shared" si="8"/>
        <v>2788</v>
      </c>
      <c r="L64" s="14">
        <f t="shared" si="8"/>
        <v>4748</v>
      </c>
      <c r="M64" s="14">
        <f t="shared" si="8"/>
        <v>3921</v>
      </c>
      <c r="N64" s="14">
        <f t="shared" si="8"/>
        <v>3584</v>
      </c>
    </row>
    <row r="65" spans="1:17" hidden="1" x14ac:dyDescent="0.25">
      <c r="A65" s="78" t="s">
        <v>37</v>
      </c>
      <c r="B65" s="72" t="s">
        <v>19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Q65" s="23"/>
    </row>
    <row r="66" spans="1:17" hidden="1" x14ac:dyDescent="0.25">
      <c r="A66" s="79"/>
      <c r="B66" s="35" t="s">
        <v>14</v>
      </c>
      <c r="C66" s="36"/>
      <c r="D66" s="36"/>
      <c r="E66" s="36"/>
      <c r="F66" s="36"/>
      <c r="G66" s="36"/>
      <c r="H66" s="36"/>
      <c r="I66" s="36"/>
      <c r="J66" s="13"/>
      <c r="K66" s="13"/>
      <c r="L66" s="13"/>
      <c r="M66" s="13"/>
      <c r="N66" s="21"/>
      <c r="Q66" s="23"/>
    </row>
    <row r="67" spans="1:17" hidden="1" x14ac:dyDescent="0.25">
      <c r="A67" s="79"/>
      <c r="B67" s="35" t="s">
        <v>15</v>
      </c>
      <c r="C67" s="36"/>
      <c r="D67" s="36"/>
      <c r="E67" s="36"/>
      <c r="F67" s="36"/>
      <c r="G67" s="36"/>
      <c r="H67" s="36"/>
      <c r="I67" s="36"/>
      <c r="J67" s="13"/>
      <c r="K67" s="13"/>
      <c r="L67" s="13"/>
      <c r="M67" s="13"/>
      <c r="N67" s="21"/>
      <c r="Q67" s="23"/>
    </row>
    <row r="68" spans="1:17" hidden="1" x14ac:dyDescent="0.25">
      <c r="A68" s="79"/>
      <c r="B68" s="35" t="s">
        <v>16</v>
      </c>
      <c r="C68" s="36"/>
      <c r="D68" s="36"/>
      <c r="E68" s="36"/>
      <c r="F68" s="36"/>
      <c r="G68" s="36"/>
      <c r="H68" s="36"/>
      <c r="I68" s="36"/>
      <c r="J68" s="13"/>
      <c r="K68" s="13"/>
      <c r="L68" s="13"/>
      <c r="M68" s="13"/>
      <c r="N68" s="21"/>
      <c r="Q68" s="23"/>
    </row>
    <row r="69" spans="1:17" hidden="1" x14ac:dyDescent="0.25">
      <c r="A69" s="79"/>
      <c r="B69" s="35" t="s">
        <v>17</v>
      </c>
      <c r="C69" s="36"/>
      <c r="D69" s="36"/>
      <c r="E69" s="36"/>
      <c r="F69" s="36"/>
      <c r="G69" s="36"/>
      <c r="H69" s="36"/>
      <c r="I69" s="36"/>
      <c r="J69" s="13"/>
      <c r="K69" s="13"/>
      <c r="L69" s="13"/>
      <c r="M69" s="13"/>
      <c r="N69" s="13"/>
      <c r="Q69" s="23"/>
    </row>
    <row r="70" spans="1:17" hidden="1" x14ac:dyDescent="0.25">
      <c r="A70" s="79"/>
      <c r="B70" s="72" t="s">
        <v>20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4"/>
    </row>
    <row r="71" spans="1:17" hidden="1" x14ac:dyDescent="0.25">
      <c r="A71" s="79"/>
      <c r="B71" s="40"/>
      <c r="C71" s="36"/>
      <c r="D71" s="36"/>
      <c r="E71" s="36"/>
      <c r="F71" s="36"/>
      <c r="G71" s="36"/>
      <c r="H71" s="36"/>
      <c r="I71" s="36"/>
      <c r="J71" s="13"/>
      <c r="K71" s="13"/>
      <c r="L71" s="13"/>
      <c r="M71" s="13"/>
      <c r="N71" s="21"/>
    </row>
    <row r="72" spans="1:17" hidden="1" x14ac:dyDescent="0.25">
      <c r="A72" s="76" t="s">
        <v>18</v>
      </c>
      <c r="B72" s="77"/>
      <c r="C72" s="38">
        <f>SUM(C66:C69,C71)</f>
        <v>0</v>
      </c>
      <c r="D72" s="38">
        <f t="shared" ref="D72:N72" si="9">SUM(D66:D69,D71)</f>
        <v>0</v>
      </c>
      <c r="E72" s="38">
        <f t="shared" si="9"/>
        <v>0</v>
      </c>
      <c r="F72" s="38">
        <f t="shared" si="9"/>
        <v>0</v>
      </c>
      <c r="G72" s="38">
        <f t="shared" si="9"/>
        <v>0</v>
      </c>
      <c r="H72" s="38">
        <f t="shared" si="9"/>
        <v>0</v>
      </c>
      <c r="I72" s="38">
        <f t="shared" si="9"/>
        <v>0</v>
      </c>
      <c r="J72" s="14">
        <f t="shared" si="9"/>
        <v>0</v>
      </c>
      <c r="K72" s="14">
        <f t="shared" si="9"/>
        <v>0</v>
      </c>
      <c r="L72" s="14">
        <f t="shared" si="9"/>
        <v>0</v>
      </c>
      <c r="M72" s="14">
        <f t="shared" si="9"/>
        <v>0</v>
      </c>
      <c r="N72" s="14">
        <f t="shared" si="9"/>
        <v>0</v>
      </c>
    </row>
    <row r="73" spans="1:17" x14ac:dyDescent="0.25">
      <c r="A73" s="78" t="s">
        <v>56</v>
      </c>
      <c r="B73" s="72" t="s">
        <v>19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4"/>
    </row>
    <row r="74" spans="1:17" x14ac:dyDescent="0.25">
      <c r="A74" s="79"/>
      <c r="B74" s="35" t="s">
        <v>14</v>
      </c>
      <c r="C74" s="36"/>
      <c r="D74" s="36"/>
      <c r="E74" s="36"/>
      <c r="F74" s="36"/>
      <c r="G74" s="36"/>
      <c r="H74" s="36"/>
      <c r="I74" s="36"/>
      <c r="J74" s="13"/>
      <c r="K74" s="13"/>
      <c r="L74" s="13"/>
      <c r="M74" s="13"/>
      <c r="N74" s="21"/>
    </row>
    <row r="75" spans="1:17" x14ac:dyDescent="0.25">
      <c r="A75" s="79"/>
      <c r="B75" s="35" t="s">
        <v>15</v>
      </c>
      <c r="C75" s="36"/>
      <c r="D75" s="36"/>
      <c r="E75" s="36"/>
      <c r="F75" s="36"/>
      <c r="G75" s="36"/>
      <c r="H75" s="36"/>
      <c r="I75" s="36"/>
      <c r="J75" s="13"/>
      <c r="K75" s="13"/>
      <c r="L75" s="13"/>
      <c r="M75" s="13"/>
      <c r="N75" s="21"/>
    </row>
    <row r="76" spans="1:17" x14ac:dyDescent="0.25">
      <c r="A76" s="79"/>
      <c r="B76" s="35" t="s">
        <v>16</v>
      </c>
      <c r="C76" s="57">
        <f>6202+32899</f>
        <v>39101</v>
      </c>
      <c r="D76" s="57">
        <v>25812</v>
      </c>
      <c r="E76" s="36">
        <v>27615</v>
      </c>
      <c r="F76" s="36">
        <v>27052</v>
      </c>
      <c r="G76" s="36">
        <v>30391</v>
      </c>
      <c r="H76" s="36">
        <v>20421</v>
      </c>
      <c r="I76" s="36">
        <v>18218</v>
      </c>
      <c r="J76" s="13">
        <v>15752</v>
      </c>
      <c r="K76" s="13">
        <v>32298</v>
      </c>
      <c r="L76" s="13">
        <v>22958</v>
      </c>
      <c r="M76" s="13">
        <v>31583</v>
      </c>
      <c r="N76" s="13">
        <v>37071</v>
      </c>
    </row>
    <row r="77" spans="1:17" x14ac:dyDescent="0.25">
      <c r="A77" s="79"/>
      <c r="B77" s="35" t="s">
        <v>17</v>
      </c>
      <c r="C77" s="36"/>
      <c r="D77" s="36"/>
      <c r="E77" s="36"/>
      <c r="F77" s="36"/>
      <c r="G77" s="36"/>
      <c r="H77" s="36"/>
      <c r="I77" s="36"/>
      <c r="J77" s="13"/>
      <c r="K77" s="13"/>
      <c r="L77" s="13"/>
      <c r="M77" s="13"/>
      <c r="N77" s="13"/>
    </row>
    <row r="78" spans="1:17" x14ac:dyDescent="0.25">
      <c r="A78" s="79"/>
      <c r="B78" s="72" t="s">
        <v>20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4"/>
    </row>
    <row r="79" spans="1:17" x14ac:dyDescent="0.25">
      <c r="A79" s="79"/>
      <c r="B79" s="40"/>
      <c r="C79" s="36"/>
      <c r="D79" s="36"/>
      <c r="E79" s="36"/>
      <c r="F79" s="36"/>
      <c r="G79" s="36"/>
      <c r="H79" s="36"/>
      <c r="I79" s="36"/>
      <c r="J79" s="13"/>
      <c r="K79" s="13"/>
      <c r="L79" s="13"/>
      <c r="M79" s="13"/>
      <c r="N79" s="21"/>
    </row>
    <row r="80" spans="1:17" x14ac:dyDescent="0.25">
      <c r="A80" s="76" t="s">
        <v>18</v>
      </c>
      <c r="B80" s="77"/>
      <c r="C80" s="38">
        <f>SUM(C74:C77,C79)</f>
        <v>39101</v>
      </c>
      <c r="D80" s="38">
        <f t="shared" ref="D80:N80" si="10">SUM(D74:D77,D79)</f>
        <v>25812</v>
      </c>
      <c r="E80" s="38">
        <f t="shared" si="10"/>
        <v>27615</v>
      </c>
      <c r="F80" s="38">
        <f t="shared" si="10"/>
        <v>27052</v>
      </c>
      <c r="G80" s="38">
        <f t="shared" si="10"/>
        <v>30391</v>
      </c>
      <c r="H80" s="38">
        <f t="shared" si="10"/>
        <v>20421</v>
      </c>
      <c r="I80" s="38">
        <f t="shared" si="10"/>
        <v>18218</v>
      </c>
      <c r="J80" s="14">
        <f t="shared" si="10"/>
        <v>15752</v>
      </c>
      <c r="K80" s="14">
        <f t="shared" si="10"/>
        <v>32298</v>
      </c>
      <c r="L80" s="14">
        <f t="shared" si="10"/>
        <v>22958</v>
      </c>
      <c r="M80" s="14">
        <f t="shared" si="10"/>
        <v>31583</v>
      </c>
      <c r="N80" s="14">
        <f t="shared" si="10"/>
        <v>37071</v>
      </c>
    </row>
    <row r="81" spans="1:14" x14ac:dyDescent="0.25">
      <c r="A81" s="78" t="s">
        <v>59</v>
      </c>
      <c r="B81" s="72" t="s">
        <v>19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79"/>
      <c r="B82" s="35" t="s">
        <v>14</v>
      </c>
      <c r="C82" s="36"/>
      <c r="D82" s="36"/>
      <c r="E82" s="36"/>
      <c r="F82" s="36"/>
      <c r="G82" s="36"/>
      <c r="H82" s="36"/>
      <c r="I82" s="36"/>
      <c r="J82" s="13"/>
      <c r="K82" s="13"/>
      <c r="L82" s="13"/>
      <c r="M82" s="13"/>
      <c r="N82" s="21"/>
    </row>
    <row r="83" spans="1:14" x14ac:dyDescent="0.25">
      <c r="A83" s="79"/>
      <c r="B83" s="35" t="s">
        <v>15</v>
      </c>
      <c r="C83" s="36"/>
      <c r="D83" s="36"/>
      <c r="E83" s="36"/>
      <c r="F83" s="36"/>
      <c r="G83" s="36"/>
      <c r="H83" s="36"/>
      <c r="I83" s="36"/>
      <c r="J83" s="13"/>
      <c r="K83" s="13"/>
      <c r="L83" s="13"/>
      <c r="M83" s="13"/>
      <c r="N83" s="21"/>
    </row>
    <row r="84" spans="1:14" x14ac:dyDescent="0.25">
      <c r="A84" s="79"/>
      <c r="B84" s="35" t="s">
        <v>16</v>
      </c>
      <c r="C84" s="36">
        <v>20214</v>
      </c>
      <c r="D84" s="36">
        <v>20953</v>
      </c>
      <c r="E84" s="36">
        <v>16371</v>
      </c>
      <c r="F84" s="36">
        <v>12889</v>
      </c>
      <c r="G84" s="36">
        <v>12718</v>
      </c>
      <c r="H84" s="36">
        <v>10381</v>
      </c>
      <c r="I84" s="36">
        <v>13970</v>
      </c>
      <c r="J84" s="13">
        <v>14438</v>
      </c>
      <c r="K84" s="13">
        <v>13885</v>
      </c>
      <c r="L84" s="13">
        <v>15090</v>
      </c>
      <c r="M84" s="13">
        <v>12645</v>
      </c>
      <c r="N84" s="13">
        <v>15078</v>
      </c>
    </row>
    <row r="85" spans="1:14" x14ac:dyDescent="0.25">
      <c r="A85" s="79"/>
      <c r="B85" s="35" t="s">
        <v>17</v>
      </c>
      <c r="C85" s="36"/>
      <c r="D85" s="36"/>
      <c r="E85" s="36"/>
      <c r="F85" s="36"/>
      <c r="G85" s="36"/>
      <c r="H85" s="36"/>
      <c r="I85" s="36"/>
      <c r="J85" s="13"/>
      <c r="K85" s="13"/>
      <c r="L85" s="13"/>
      <c r="M85" s="13"/>
      <c r="N85" s="13"/>
    </row>
    <row r="86" spans="1:14" x14ac:dyDescent="0.25">
      <c r="A86" s="79"/>
      <c r="B86" s="72" t="s">
        <v>20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</row>
    <row r="87" spans="1:14" x14ac:dyDescent="0.25">
      <c r="A87" s="79"/>
      <c r="B87" s="40"/>
      <c r="C87" s="36"/>
      <c r="D87" s="36"/>
      <c r="E87" s="36"/>
      <c r="F87" s="36"/>
      <c r="G87" s="36"/>
      <c r="H87" s="36"/>
      <c r="I87" s="36"/>
      <c r="J87" s="13"/>
      <c r="K87" s="13"/>
      <c r="L87" s="13"/>
      <c r="M87" s="13"/>
      <c r="N87" s="21"/>
    </row>
    <row r="88" spans="1:14" x14ac:dyDescent="0.25">
      <c r="A88" s="76" t="s">
        <v>18</v>
      </c>
      <c r="B88" s="77"/>
      <c r="C88" s="38">
        <f>SUM(C82:C85,C87)</f>
        <v>20214</v>
      </c>
      <c r="D88" s="38">
        <f t="shared" ref="D88:N88" si="11">SUM(D82:D85,D87)</f>
        <v>20953</v>
      </c>
      <c r="E88" s="38">
        <f t="shared" si="11"/>
        <v>16371</v>
      </c>
      <c r="F88" s="38">
        <f t="shared" si="11"/>
        <v>12889</v>
      </c>
      <c r="G88" s="38">
        <f t="shared" si="11"/>
        <v>12718</v>
      </c>
      <c r="H88" s="38">
        <f t="shared" si="11"/>
        <v>10381</v>
      </c>
      <c r="I88" s="38">
        <f t="shared" si="11"/>
        <v>13970</v>
      </c>
      <c r="J88" s="14">
        <f t="shared" si="11"/>
        <v>14438</v>
      </c>
      <c r="K88" s="14">
        <f t="shared" si="11"/>
        <v>13885</v>
      </c>
      <c r="L88" s="14">
        <f t="shared" si="11"/>
        <v>15090</v>
      </c>
      <c r="M88" s="14">
        <f t="shared" si="11"/>
        <v>12645</v>
      </c>
      <c r="N88" s="14">
        <f t="shared" si="11"/>
        <v>15078</v>
      </c>
    </row>
    <row r="106" spans="12:12" x14ac:dyDescent="0.25">
      <c r="L106" s="23"/>
    </row>
  </sheetData>
  <mergeCells count="41">
    <mergeCell ref="A88:B88"/>
    <mergeCell ref="A72:B72"/>
    <mergeCell ref="A73:A79"/>
    <mergeCell ref="B73:N73"/>
    <mergeCell ref="B78:N78"/>
    <mergeCell ref="A80:B80"/>
    <mergeCell ref="A81:A87"/>
    <mergeCell ref="B81:N81"/>
    <mergeCell ref="B86:N86"/>
    <mergeCell ref="A65:A71"/>
    <mergeCell ref="B65:N65"/>
    <mergeCell ref="B70:N70"/>
    <mergeCell ref="A40:B40"/>
    <mergeCell ref="A41:A47"/>
    <mergeCell ref="B41:N41"/>
    <mergeCell ref="B46:N46"/>
    <mergeCell ref="A48:B48"/>
    <mergeCell ref="A49:A55"/>
    <mergeCell ref="B49:N49"/>
    <mergeCell ref="B54:N54"/>
    <mergeCell ref="A56:B56"/>
    <mergeCell ref="A57:A63"/>
    <mergeCell ref="B57:N57"/>
    <mergeCell ref="B62:N62"/>
    <mergeCell ref="A64:B64"/>
    <mergeCell ref="A33:A39"/>
    <mergeCell ref="B33:N33"/>
    <mergeCell ref="B38:N38"/>
    <mergeCell ref="A2:N2"/>
    <mergeCell ref="A4:A10"/>
    <mergeCell ref="B4:N4"/>
    <mergeCell ref="B9:N9"/>
    <mergeCell ref="A14:B14"/>
    <mergeCell ref="A15:A21"/>
    <mergeCell ref="B15:N15"/>
    <mergeCell ref="B20:N20"/>
    <mergeCell ref="A23:B23"/>
    <mergeCell ref="A24:A30"/>
    <mergeCell ref="B24:N24"/>
    <mergeCell ref="B29:N29"/>
    <mergeCell ref="A32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10" sqref="B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59" t="s">
        <v>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60" t="s">
        <v>24</v>
      </c>
      <c r="B4" s="63" t="s">
        <v>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22.5" customHeight="1" x14ac:dyDescent="0.25">
      <c r="A5" s="61"/>
      <c r="B5" s="5" t="s">
        <v>14</v>
      </c>
      <c r="C5" s="3">
        <v>99869881</v>
      </c>
      <c r="D5" s="3">
        <v>91092899</v>
      </c>
      <c r="E5" s="3">
        <v>91068433</v>
      </c>
      <c r="F5" s="3">
        <v>80412052</v>
      </c>
      <c r="G5" s="3">
        <v>81718012</v>
      </c>
      <c r="H5" s="3">
        <v>73485650</v>
      </c>
      <c r="I5" s="3">
        <v>75184388</v>
      </c>
      <c r="J5" s="3">
        <v>75338296</v>
      </c>
      <c r="K5" s="3">
        <v>77351440</v>
      </c>
      <c r="L5" s="3">
        <v>87060149</v>
      </c>
      <c r="M5" s="3">
        <v>93252700</v>
      </c>
      <c r="N5" s="3">
        <v>99574516</v>
      </c>
    </row>
    <row r="6" spans="1:14" ht="22.5" customHeight="1" x14ac:dyDescent="0.25">
      <c r="A6" s="61"/>
      <c r="B6" s="5" t="s">
        <v>15</v>
      </c>
      <c r="C6" s="3">
        <v>22994407</v>
      </c>
      <c r="D6" s="3">
        <v>20747607</v>
      </c>
      <c r="E6" s="3">
        <v>20706618</v>
      </c>
      <c r="F6" s="3">
        <v>17387103</v>
      </c>
      <c r="G6" s="3">
        <v>18002049</v>
      </c>
      <c r="H6" s="3">
        <v>16979192</v>
      </c>
      <c r="I6" s="3">
        <v>17496295</v>
      </c>
      <c r="J6" s="3">
        <v>17690281</v>
      </c>
      <c r="K6" s="3">
        <v>17674397</v>
      </c>
      <c r="L6" s="3">
        <v>19585142</v>
      </c>
      <c r="M6" s="3">
        <v>21174080</v>
      </c>
      <c r="N6" s="3">
        <v>23351960</v>
      </c>
    </row>
    <row r="7" spans="1:14" ht="22.5" customHeight="1" x14ac:dyDescent="0.25">
      <c r="A7" s="61"/>
      <c r="B7" s="5" t="s">
        <v>16</v>
      </c>
      <c r="C7" s="3">
        <v>4689824</v>
      </c>
      <c r="D7" s="3">
        <v>4659150</v>
      </c>
      <c r="E7" s="3">
        <v>3788759</v>
      </c>
      <c r="F7" s="3">
        <v>3168206</v>
      </c>
      <c r="G7" s="3">
        <v>2696082</v>
      </c>
      <c r="H7" s="3">
        <v>2364684</v>
      </c>
      <c r="I7" s="3">
        <v>2090239</v>
      </c>
      <c r="J7" s="3">
        <v>1955139</v>
      </c>
      <c r="K7" s="3">
        <v>2463865</v>
      </c>
      <c r="L7" s="3">
        <v>3099158</v>
      </c>
      <c r="M7" s="3">
        <v>3518010</v>
      </c>
      <c r="N7" s="3">
        <v>4028523</v>
      </c>
    </row>
    <row r="8" spans="1:14" ht="22.5" customHeight="1" x14ac:dyDescent="0.25">
      <c r="A8" s="61"/>
      <c r="B8" s="5" t="s">
        <v>17</v>
      </c>
      <c r="C8" s="3">
        <v>1219193</v>
      </c>
      <c r="D8" s="3">
        <v>1182633</v>
      </c>
      <c r="E8" s="3">
        <v>1001950</v>
      </c>
      <c r="F8" s="3">
        <v>862072</v>
      </c>
      <c r="G8" s="3">
        <v>710569</v>
      </c>
      <c r="H8" s="3">
        <v>642716</v>
      </c>
      <c r="I8" s="3">
        <v>650095</v>
      </c>
      <c r="J8" s="3">
        <v>779731</v>
      </c>
      <c r="K8" s="3">
        <v>716676</v>
      </c>
      <c r="L8" s="3">
        <v>862349</v>
      </c>
      <c r="M8" s="3">
        <v>935600</v>
      </c>
      <c r="N8" s="3">
        <v>1057570</v>
      </c>
    </row>
    <row r="9" spans="1:14" ht="22.5" customHeight="1" x14ac:dyDescent="0.25">
      <c r="A9" s="61"/>
      <c r="B9" s="63" t="s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22.5" customHeight="1" x14ac:dyDescent="0.25">
      <c r="A10" s="61"/>
      <c r="B10" s="4"/>
      <c r="C10" s="3">
        <v>2357226</v>
      </c>
      <c r="D10" s="3">
        <v>2268766</v>
      </c>
      <c r="E10" s="3">
        <v>2755489</v>
      </c>
      <c r="F10" s="3">
        <v>2980691</v>
      </c>
      <c r="G10" s="3">
        <v>2953263</v>
      </c>
      <c r="H10" s="3">
        <v>3041568</v>
      </c>
      <c r="I10" s="3">
        <v>2893755</v>
      </c>
      <c r="J10" s="3">
        <v>2635649</v>
      </c>
      <c r="K10" s="3">
        <v>3514701</v>
      </c>
      <c r="L10" s="3">
        <v>2832442</v>
      </c>
      <c r="M10" s="3">
        <v>2812304</v>
      </c>
      <c r="N10" s="3">
        <v>2812304</v>
      </c>
    </row>
    <row r="11" spans="1:14" ht="30.75" customHeight="1" x14ac:dyDescent="0.25">
      <c r="A11" s="62"/>
      <c r="B11" s="6" t="s">
        <v>18</v>
      </c>
      <c r="C11" s="3">
        <f t="shared" ref="C11:N11" si="0">SUM(C5:C8,C10)</f>
        <v>131130531</v>
      </c>
      <c r="D11" s="3">
        <f t="shared" si="0"/>
        <v>119951055</v>
      </c>
      <c r="E11" s="3">
        <f t="shared" si="0"/>
        <v>119321249</v>
      </c>
      <c r="F11" s="3">
        <f t="shared" si="0"/>
        <v>104810124</v>
      </c>
      <c r="G11" s="3">
        <f t="shared" si="0"/>
        <v>106079975</v>
      </c>
      <c r="H11" s="3">
        <f t="shared" si="0"/>
        <v>96513810</v>
      </c>
      <c r="I11" s="3">
        <f t="shared" si="0"/>
        <v>98314772</v>
      </c>
      <c r="J11" s="3">
        <f t="shared" si="0"/>
        <v>98399096</v>
      </c>
      <c r="K11" s="3">
        <f t="shared" si="0"/>
        <v>101721079</v>
      </c>
      <c r="L11" s="3">
        <f t="shared" si="0"/>
        <v>113439240</v>
      </c>
      <c r="M11" s="3">
        <f t="shared" si="0"/>
        <v>121692694</v>
      </c>
      <c r="N11" s="3">
        <f t="shared" si="0"/>
        <v>130824873</v>
      </c>
    </row>
    <row r="12" spans="1:14" ht="22.5" customHeight="1" x14ac:dyDescent="0.25">
      <c r="A12" s="66" t="s">
        <v>18</v>
      </c>
      <c r="B12" s="67"/>
      <c r="C12" s="10">
        <f>C11</f>
        <v>131130531</v>
      </c>
      <c r="D12" s="10">
        <f t="shared" ref="D12:N12" si="1">D11</f>
        <v>119951055</v>
      </c>
      <c r="E12" s="10">
        <f t="shared" si="1"/>
        <v>119321249</v>
      </c>
      <c r="F12" s="10">
        <f t="shared" si="1"/>
        <v>104810124</v>
      </c>
      <c r="G12" s="10">
        <f t="shared" si="1"/>
        <v>106079975</v>
      </c>
      <c r="H12" s="10">
        <f t="shared" si="1"/>
        <v>96513810</v>
      </c>
      <c r="I12" s="10">
        <f t="shared" si="1"/>
        <v>98314772</v>
      </c>
      <c r="J12" s="10">
        <f t="shared" si="1"/>
        <v>98399096</v>
      </c>
      <c r="K12" s="10">
        <f t="shared" si="1"/>
        <v>101721079</v>
      </c>
      <c r="L12" s="10">
        <f t="shared" si="1"/>
        <v>113439240</v>
      </c>
      <c r="M12" s="10">
        <f t="shared" si="1"/>
        <v>121692694</v>
      </c>
      <c r="N12" s="10">
        <f t="shared" si="1"/>
        <v>130824873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60" t="s">
        <v>24</v>
      </c>
      <c r="B4" s="63" t="s">
        <v>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22.5" customHeight="1" x14ac:dyDescent="0.25">
      <c r="A5" s="61"/>
      <c r="B5" s="5" t="s">
        <v>14</v>
      </c>
      <c r="C5" s="3">
        <v>94819712</v>
      </c>
      <c r="D5" s="3">
        <v>85681070</v>
      </c>
      <c r="E5" s="3">
        <v>91139314</v>
      </c>
      <c r="F5" s="3">
        <v>79548557</v>
      </c>
      <c r="G5" s="3">
        <v>74555995</v>
      </c>
      <c r="H5" s="3">
        <v>71519498</v>
      </c>
      <c r="I5" s="3">
        <v>75163274</v>
      </c>
      <c r="J5" s="3">
        <v>76368561</v>
      </c>
      <c r="K5" s="3">
        <v>75094563</v>
      </c>
      <c r="L5" s="3">
        <v>83186737</v>
      </c>
      <c r="M5" s="11">
        <v>91238718</v>
      </c>
      <c r="N5" s="11">
        <v>95592234</v>
      </c>
    </row>
    <row r="6" spans="1:14" ht="22.5" customHeight="1" x14ac:dyDescent="0.25">
      <c r="A6" s="61"/>
      <c r="B6" s="5" t="s">
        <v>15</v>
      </c>
      <c r="C6" s="3">
        <v>22007906</v>
      </c>
      <c r="D6" s="3">
        <v>20091277</v>
      </c>
      <c r="E6" s="3">
        <v>20666429</v>
      </c>
      <c r="F6" s="3">
        <v>16529710</v>
      </c>
      <c r="G6" s="3">
        <v>16536570</v>
      </c>
      <c r="H6" s="3">
        <v>16397787</v>
      </c>
      <c r="I6" s="3">
        <v>18201873</v>
      </c>
      <c r="J6" s="3">
        <v>17153110</v>
      </c>
      <c r="K6" s="3">
        <v>16455518</v>
      </c>
      <c r="L6" s="3">
        <v>18139515</v>
      </c>
      <c r="M6" s="11">
        <v>21253268</v>
      </c>
      <c r="N6" s="11">
        <v>22131517</v>
      </c>
    </row>
    <row r="7" spans="1:14" ht="22.5" customHeight="1" x14ac:dyDescent="0.25">
      <c r="A7" s="61"/>
      <c r="B7" s="5" t="s">
        <v>16</v>
      </c>
      <c r="C7" s="3">
        <v>499022</v>
      </c>
      <c r="D7" s="3">
        <v>507258</v>
      </c>
      <c r="E7" s="3">
        <v>577101</v>
      </c>
      <c r="F7" s="3">
        <v>87082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108368</v>
      </c>
      <c r="M7" s="11">
        <v>463261</v>
      </c>
      <c r="N7" s="11">
        <v>562274</v>
      </c>
    </row>
    <row r="8" spans="1:14" ht="22.5" customHeight="1" x14ac:dyDescent="0.25">
      <c r="A8" s="61"/>
      <c r="B8" s="5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1">
        <v>0</v>
      </c>
      <c r="N8" s="11">
        <v>0</v>
      </c>
    </row>
    <row r="9" spans="1:14" ht="22.5" customHeight="1" x14ac:dyDescent="0.25">
      <c r="A9" s="61"/>
      <c r="B9" s="63" t="s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22.5" customHeight="1" x14ac:dyDescent="0.25">
      <c r="A10" s="61"/>
      <c r="B10" s="4"/>
      <c r="C10" s="3">
        <v>51068</v>
      </c>
      <c r="D10" s="3">
        <v>100259</v>
      </c>
      <c r="E10" s="3">
        <v>51629</v>
      </c>
      <c r="F10" s="3">
        <v>44653</v>
      </c>
      <c r="G10" s="3">
        <v>17797</v>
      </c>
      <c r="H10" s="3">
        <v>17301</v>
      </c>
      <c r="I10" s="3">
        <v>16254</v>
      </c>
      <c r="J10" s="3">
        <v>17499.000000000004</v>
      </c>
      <c r="K10" s="3">
        <v>20511.000000000004</v>
      </c>
      <c r="L10" s="3">
        <v>21130</v>
      </c>
      <c r="M10" s="11">
        <v>20913</v>
      </c>
      <c r="N10" s="11">
        <v>19514</v>
      </c>
    </row>
    <row r="11" spans="1:14" ht="22.5" customHeight="1" x14ac:dyDescent="0.25">
      <c r="A11" s="66" t="s">
        <v>18</v>
      </c>
      <c r="B11" s="67"/>
      <c r="C11" s="10">
        <f t="shared" ref="C11:M11" si="0">SUM(C5:C8,C10)</f>
        <v>117377708</v>
      </c>
      <c r="D11" s="10">
        <f t="shared" si="0"/>
        <v>106379864</v>
      </c>
      <c r="E11" s="10">
        <f t="shared" si="0"/>
        <v>112434473</v>
      </c>
      <c r="F11" s="10">
        <f t="shared" si="0"/>
        <v>96210002</v>
      </c>
      <c r="G11" s="10">
        <f t="shared" si="0"/>
        <v>91110362</v>
      </c>
      <c r="H11" s="10">
        <f t="shared" si="0"/>
        <v>87934586</v>
      </c>
      <c r="I11" s="10">
        <f t="shared" si="0"/>
        <v>93381401</v>
      </c>
      <c r="J11" s="10">
        <f t="shared" si="0"/>
        <v>93539170</v>
      </c>
      <c r="K11" s="10">
        <f t="shared" si="0"/>
        <v>91570592</v>
      </c>
      <c r="L11" s="10">
        <f t="shared" si="0"/>
        <v>101455750</v>
      </c>
      <c r="M11" s="10">
        <f t="shared" si="0"/>
        <v>112976160</v>
      </c>
      <c r="N11" s="10">
        <f>SUM(N5:N8,N10)</f>
        <v>118305539</v>
      </c>
    </row>
    <row r="12" spans="1:14" ht="22.5" customHeight="1" x14ac:dyDescent="0.25">
      <c r="A12" s="60" t="s">
        <v>25</v>
      </c>
      <c r="B12" s="63" t="s">
        <v>19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1:14" ht="22.5" customHeight="1" x14ac:dyDescent="0.25">
      <c r="A13" s="61"/>
      <c r="B13" s="5" t="s">
        <v>14</v>
      </c>
      <c r="C13" s="3">
        <v>1918259</v>
      </c>
      <c r="D13" s="3">
        <v>1777708</v>
      </c>
      <c r="E13" s="3">
        <v>1581002</v>
      </c>
      <c r="F13" s="3">
        <v>1279956</v>
      </c>
      <c r="G13" s="3">
        <v>979859</v>
      </c>
      <c r="H13" s="3">
        <v>666542</v>
      </c>
      <c r="I13" s="3">
        <v>785221</v>
      </c>
      <c r="J13" s="3">
        <v>797277</v>
      </c>
      <c r="K13" s="3">
        <v>959733</v>
      </c>
      <c r="L13" s="3">
        <v>1186928</v>
      </c>
      <c r="M13" s="11">
        <v>1348236</v>
      </c>
      <c r="N13" s="11">
        <v>1238414</v>
      </c>
    </row>
    <row r="14" spans="1:14" ht="22.5" customHeight="1" x14ac:dyDescent="0.25">
      <c r="A14" s="61"/>
      <c r="B14" s="5" t="s">
        <v>15</v>
      </c>
      <c r="C14" s="3">
        <v>342762</v>
      </c>
      <c r="D14" s="3">
        <v>281994</v>
      </c>
      <c r="E14" s="3">
        <v>272610</v>
      </c>
      <c r="F14" s="3">
        <v>181333</v>
      </c>
      <c r="G14" s="3">
        <v>124128</v>
      </c>
      <c r="H14" s="3">
        <v>83073</v>
      </c>
      <c r="I14" s="3">
        <v>86219</v>
      </c>
      <c r="J14" s="3">
        <v>87452</v>
      </c>
      <c r="K14" s="3">
        <v>115003</v>
      </c>
      <c r="L14" s="3">
        <v>154894</v>
      </c>
      <c r="M14" s="11">
        <v>234601</v>
      </c>
      <c r="N14" s="11">
        <v>302676</v>
      </c>
    </row>
    <row r="15" spans="1:14" ht="22.5" customHeight="1" x14ac:dyDescent="0.25">
      <c r="A15" s="61"/>
      <c r="B15" s="5" t="s">
        <v>16</v>
      </c>
      <c r="C15" s="3">
        <v>3009917</v>
      </c>
      <c r="D15" s="3">
        <v>2728777</v>
      </c>
      <c r="E15" s="3">
        <v>2452307</v>
      </c>
      <c r="F15" s="3">
        <v>2338709</v>
      </c>
      <c r="G15" s="3">
        <v>1827864</v>
      </c>
      <c r="H15" s="3">
        <v>1566557</v>
      </c>
      <c r="I15" s="3">
        <v>1753558</v>
      </c>
      <c r="J15" s="3">
        <v>1805544</v>
      </c>
      <c r="K15" s="3">
        <v>2049270</v>
      </c>
      <c r="L15" s="3">
        <v>2399987</v>
      </c>
      <c r="M15" s="11">
        <v>2634566</v>
      </c>
      <c r="N15" s="11">
        <v>2660338</v>
      </c>
    </row>
    <row r="16" spans="1:14" ht="22.5" customHeight="1" x14ac:dyDescent="0.25">
      <c r="A16" s="61"/>
      <c r="B16" s="5" t="s">
        <v>17</v>
      </c>
      <c r="C16" s="3">
        <v>761782</v>
      </c>
      <c r="D16" s="3">
        <v>737775</v>
      </c>
      <c r="E16" s="3">
        <v>679734</v>
      </c>
      <c r="F16" s="3">
        <v>618154</v>
      </c>
      <c r="G16" s="3">
        <v>509620</v>
      </c>
      <c r="H16" s="3">
        <v>481913</v>
      </c>
      <c r="I16" s="3">
        <v>478257</v>
      </c>
      <c r="J16" s="3">
        <v>460824</v>
      </c>
      <c r="K16" s="3">
        <v>491971</v>
      </c>
      <c r="L16" s="3">
        <v>594552</v>
      </c>
      <c r="M16" s="11">
        <v>582344</v>
      </c>
      <c r="N16" s="11">
        <v>625350</v>
      </c>
    </row>
    <row r="17" spans="1:14" ht="22.5" customHeight="1" x14ac:dyDescent="0.25">
      <c r="A17" s="61"/>
      <c r="B17" s="63" t="s">
        <v>20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4" ht="22.5" customHeight="1" x14ac:dyDescent="0.25">
      <c r="A18" s="61"/>
      <c r="B18" s="4"/>
      <c r="C18" s="3">
        <v>2464834</v>
      </c>
      <c r="D18" s="3">
        <v>2023469</v>
      </c>
      <c r="E18" s="3">
        <v>2590529</v>
      </c>
      <c r="F18" s="3">
        <v>1827510</v>
      </c>
      <c r="G18" s="3">
        <v>2445392</v>
      </c>
      <c r="H18" s="3">
        <v>2899012</v>
      </c>
      <c r="I18" s="3">
        <v>2723703</v>
      </c>
      <c r="J18" s="3">
        <v>2829774</v>
      </c>
      <c r="K18" s="3">
        <v>2666237</v>
      </c>
      <c r="L18" s="3">
        <v>2125239</v>
      </c>
      <c r="M18" s="11">
        <v>2622886</v>
      </c>
      <c r="N18" s="11">
        <v>2360738</v>
      </c>
    </row>
    <row r="19" spans="1:14" ht="22.5" customHeight="1" x14ac:dyDescent="0.25">
      <c r="A19" s="66" t="s">
        <v>18</v>
      </c>
      <c r="B19" s="67"/>
      <c r="C19" s="10">
        <f t="shared" ref="C19:M19" si="1">SUM(C13:C16,C18)</f>
        <v>8497554</v>
      </c>
      <c r="D19" s="10">
        <f t="shared" si="1"/>
        <v>7549723</v>
      </c>
      <c r="E19" s="10">
        <f t="shared" si="1"/>
        <v>7576182</v>
      </c>
      <c r="F19" s="10">
        <f t="shared" si="1"/>
        <v>6245662</v>
      </c>
      <c r="G19" s="10">
        <f t="shared" si="1"/>
        <v>5886863</v>
      </c>
      <c r="H19" s="10">
        <f t="shared" si="1"/>
        <v>5697097</v>
      </c>
      <c r="I19" s="10">
        <f t="shared" si="1"/>
        <v>5826958</v>
      </c>
      <c r="J19" s="10">
        <f t="shared" si="1"/>
        <v>5980871</v>
      </c>
      <c r="K19" s="10">
        <f t="shared" si="1"/>
        <v>6282214</v>
      </c>
      <c r="L19" s="10">
        <f t="shared" si="1"/>
        <v>6461600</v>
      </c>
      <c r="M19" s="10">
        <f t="shared" si="1"/>
        <v>7422633</v>
      </c>
      <c r="N19" s="10">
        <f>SUM(N13:N16,N18)</f>
        <v>7187516</v>
      </c>
    </row>
    <row r="20" spans="1:14" ht="22.5" customHeight="1" x14ac:dyDescent="0.25">
      <c r="A20" s="60" t="s">
        <v>26</v>
      </c>
      <c r="B20" s="63" t="s">
        <v>19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22.5" customHeight="1" x14ac:dyDescent="0.25">
      <c r="A21" s="61"/>
      <c r="B21" s="5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61"/>
      <c r="B22" s="5" t="s">
        <v>15</v>
      </c>
      <c r="C22" s="3">
        <v>4368</v>
      </c>
      <c r="D22" s="3">
        <v>10051</v>
      </c>
      <c r="E22" s="3">
        <v>4368</v>
      </c>
      <c r="F22" s="3">
        <v>4260</v>
      </c>
      <c r="G22" s="3">
        <v>3109</v>
      </c>
      <c r="H22" s="3">
        <v>5108</v>
      </c>
      <c r="I22" s="3">
        <v>18103</v>
      </c>
      <c r="J22" s="3">
        <v>9774</v>
      </c>
      <c r="K22" s="3">
        <v>4429</v>
      </c>
      <c r="L22" s="3">
        <v>6885</v>
      </c>
      <c r="M22" s="11">
        <v>4225</v>
      </c>
      <c r="N22" s="11">
        <v>5370</v>
      </c>
    </row>
    <row r="23" spans="1:14" ht="22.5" customHeight="1" x14ac:dyDescent="0.25">
      <c r="A23" s="61"/>
      <c r="B23" s="5" t="s">
        <v>16</v>
      </c>
      <c r="C23" s="3">
        <v>156794</v>
      </c>
      <c r="D23" s="3">
        <v>150649</v>
      </c>
      <c r="E23" s="3">
        <v>156794</v>
      </c>
      <c r="F23" s="3">
        <v>152801</v>
      </c>
      <c r="G23" s="3">
        <v>92692</v>
      </c>
      <c r="H23" s="3">
        <v>46192</v>
      </c>
      <c r="I23" s="3">
        <v>41894</v>
      </c>
      <c r="J23" s="3">
        <v>13192</v>
      </c>
      <c r="K23" s="3">
        <v>96623</v>
      </c>
      <c r="L23" s="3">
        <v>135394</v>
      </c>
      <c r="M23" s="11">
        <v>162574</v>
      </c>
      <c r="N23" s="11">
        <v>149522</v>
      </c>
    </row>
    <row r="24" spans="1:14" ht="22.5" customHeight="1" x14ac:dyDescent="0.25">
      <c r="A24" s="61"/>
      <c r="B24" s="5" t="s">
        <v>17</v>
      </c>
      <c r="C24" s="3">
        <v>220311</v>
      </c>
      <c r="D24" s="3">
        <v>195217</v>
      </c>
      <c r="E24" s="3">
        <v>220311</v>
      </c>
      <c r="F24" s="3">
        <v>162449</v>
      </c>
      <c r="G24" s="3">
        <v>136432</v>
      </c>
      <c r="H24" s="3">
        <v>138683</v>
      </c>
      <c r="I24" s="3">
        <v>141121</v>
      </c>
      <c r="J24" s="3">
        <v>135885</v>
      </c>
      <c r="K24" s="3">
        <v>159760</v>
      </c>
      <c r="L24" s="3">
        <v>196050</v>
      </c>
      <c r="M24" s="11">
        <v>186671</v>
      </c>
      <c r="N24" s="11">
        <v>208692</v>
      </c>
    </row>
    <row r="25" spans="1:14" ht="22.5" customHeight="1" x14ac:dyDescent="0.25">
      <c r="A25" s="61"/>
      <c r="B25" s="63" t="s">
        <v>20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1:14" ht="22.5" customHeight="1" x14ac:dyDescent="0.25">
      <c r="A26" s="61"/>
      <c r="B26" s="4"/>
      <c r="C26" s="3">
        <v>423557</v>
      </c>
      <c r="D26" s="3">
        <v>406749</v>
      </c>
      <c r="E26" s="3">
        <v>439568</v>
      </c>
      <c r="F26" s="3">
        <v>400810</v>
      </c>
      <c r="G26" s="3">
        <v>398083</v>
      </c>
      <c r="H26" s="3">
        <v>396639</v>
      </c>
      <c r="I26" s="3">
        <v>388361</v>
      </c>
      <c r="J26" s="3">
        <v>399770</v>
      </c>
      <c r="K26" s="3">
        <v>441776</v>
      </c>
      <c r="L26" s="3">
        <v>381412</v>
      </c>
      <c r="M26" s="11">
        <v>417237</v>
      </c>
      <c r="N26" s="11">
        <v>440350</v>
      </c>
    </row>
    <row r="27" spans="1:14" ht="22.5" customHeight="1" x14ac:dyDescent="0.25">
      <c r="A27" s="66" t="s">
        <v>18</v>
      </c>
      <c r="B27" s="67"/>
      <c r="C27" s="10">
        <f t="shared" ref="C27:M27" si="2">SUM(C21:C24,C26)</f>
        <v>805030</v>
      </c>
      <c r="D27" s="10">
        <f t="shared" si="2"/>
        <v>762666</v>
      </c>
      <c r="E27" s="10">
        <f t="shared" si="2"/>
        <v>821041</v>
      </c>
      <c r="F27" s="10">
        <f t="shared" si="2"/>
        <v>720320</v>
      </c>
      <c r="G27" s="10">
        <f t="shared" si="2"/>
        <v>630316</v>
      </c>
      <c r="H27" s="10">
        <f t="shared" si="2"/>
        <v>586622</v>
      </c>
      <c r="I27" s="10">
        <f t="shared" si="2"/>
        <v>589479</v>
      </c>
      <c r="J27" s="10">
        <f t="shared" si="2"/>
        <v>558621</v>
      </c>
      <c r="K27" s="10">
        <f t="shared" si="2"/>
        <v>702588</v>
      </c>
      <c r="L27" s="10">
        <f t="shared" si="2"/>
        <v>719741</v>
      </c>
      <c r="M27" s="10">
        <f t="shared" si="2"/>
        <v>770707</v>
      </c>
      <c r="N27" s="10">
        <f>SUM(N21:N24,N26)</f>
        <v>803934</v>
      </c>
    </row>
  </sheetData>
  <mergeCells count="13">
    <mergeCell ref="A2:N2"/>
    <mergeCell ref="A4:A10"/>
    <mergeCell ref="B4:N4"/>
    <mergeCell ref="B9:N9"/>
    <mergeCell ref="A11:B11"/>
    <mergeCell ref="A27:B27"/>
    <mergeCell ref="A12:A18"/>
    <mergeCell ref="B12:N12"/>
    <mergeCell ref="B17:N17"/>
    <mergeCell ref="A19:B19"/>
    <mergeCell ref="A20:A26"/>
    <mergeCell ref="B20:N20"/>
    <mergeCell ref="B25:N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" sqref="A1:N27"/>
    </sheetView>
  </sheetViews>
  <sheetFormatPr defaultColWidth="9.140625" defaultRowHeight="15" x14ac:dyDescent="0.25"/>
  <cols>
    <col min="1" max="1" width="24.85546875" style="16" customWidth="1"/>
    <col min="2" max="2" width="14.85546875" style="16" customWidth="1"/>
    <col min="3" max="7" width="15.42578125" style="16" customWidth="1"/>
    <col min="8" max="8" width="18.42578125" style="16" customWidth="1"/>
    <col min="9" max="9" width="19.85546875" style="16" customWidth="1"/>
    <col min="10" max="10" width="21" style="16" customWidth="1"/>
    <col min="11" max="11" width="22.140625" style="16" customWidth="1"/>
    <col min="12" max="12" width="22.42578125" style="16" customWidth="1"/>
    <col min="13" max="14" width="24.28515625" style="16" customWidth="1"/>
    <col min="15" max="16384" width="9.140625" style="16"/>
  </cols>
  <sheetData>
    <row r="2" spans="1:14" ht="42.75" customHeight="1" x14ac:dyDescent="0.25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19" customFormat="1" ht="33" customHeight="1" x14ac:dyDescent="0.25">
      <c r="A3" s="17" t="s">
        <v>0</v>
      </c>
      <c r="B3" s="18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4" ht="22.5" customHeight="1" x14ac:dyDescent="0.25">
      <c r="A4" s="70" t="s">
        <v>28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22.5" customHeight="1" x14ac:dyDescent="0.25">
      <c r="A5" s="71"/>
      <c r="B5" s="20" t="s">
        <v>14</v>
      </c>
      <c r="C5" s="13">
        <v>97268687</v>
      </c>
      <c r="D5" s="13">
        <v>90782859</v>
      </c>
      <c r="E5" s="13">
        <v>93922403</v>
      </c>
      <c r="F5" s="13">
        <f>'[1]Кемеровская область'!$L$89</f>
        <v>83016925</v>
      </c>
      <c r="G5" s="13">
        <v>81833932</v>
      </c>
      <c r="H5" s="13">
        <v>73957167</v>
      </c>
      <c r="I5" s="13">
        <v>75976873</v>
      </c>
      <c r="J5" s="13">
        <v>74298416</v>
      </c>
      <c r="K5" s="13">
        <v>75845670</v>
      </c>
      <c r="L5" s="13">
        <v>86820111</v>
      </c>
      <c r="M5" s="13">
        <f>77826041+'[2]Кемеровская область'!$L$309</f>
        <v>93662233</v>
      </c>
      <c r="N5" s="21">
        <f>'[2]Кемеровская область'!$L$335+'[2]Кемеровская область'!$L$338</f>
        <v>101273390</v>
      </c>
    </row>
    <row r="6" spans="1:14" ht="22.5" customHeight="1" x14ac:dyDescent="0.25">
      <c r="A6" s="71"/>
      <c r="B6" s="20" t="s">
        <v>15</v>
      </c>
      <c r="C6" s="13">
        <v>22036023</v>
      </c>
      <c r="D6" s="13">
        <v>20556419</v>
      </c>
      <c r="E6" s="13">
        <v>20485918</v>
      </c>
      <c r="F6" s="13">
        <f>'[1]Кемеровская область'!$L$90</f>
        <v>16509637.999999998</v>
      </c>
      <c r="G6" s="13">
        <v>17218989</v>
      </c>
      <c r="H6" s="13">
        <v>16017442</v>
      </c>
      <c r="I6" s="13">
        <v>17969560</v>
      </c>
      <c r="J6" s="13">
        <v>17518117</v>
      </c>
      <c r="K6" s="13">
        <v>16815804</v>
      </c>
      <c r="L6" s="13">
        <v>20874025</v>
      </c>
      <c r="M6" s="13">
        <v>23248028</v>
      </c>
      <c r="N6" s="21">
        <f>'[2]Кемеровская область'!$L$336</f>
        <v>23687528</v>
      </c>
    </row>
    <row r="7" spans="1:14" ht="22.5" customHeight="1" x14ac:dyDescent="0.25">
      <c r="A7" s="71"/>
      <c r="B7" s="20" t="s">
        <v>16</v>
      </c>
      <c r="C7" s="13">
        <v>581097</v>
      </c>
      <c r="D7" s="13">
        <v>473837</v>
      </c>
      <c r="E7" s="13">
        <v>543120</v>
      </c>
      <c r="F7" s="13">
        <f>'[1]Кемеровская область'!$L$91</f>
        <v>346195</v>
      </c>
      <c r="G7" s="13">
        <v>406051</v>
      </c>
      <c r="H7" s="13">
        <v>354308</v>
      </c>
      <c r="I7" s="13">
        <v>325089</v>
      </c>
      <c r="J7" s="13">
        <v>362484</v>
      </c>
      <c r="K7" s="13">
        <v>373828</v>
      </c>
      <c r="L7" s="13">
        <v>393237</v>
      </c>
      <c r="M7" s="13">
        <v>419507</v>
      </c>
      <c r="N7" s="21">
        <f>'[2]Кемеровская область'!$L$337</f>
        <v>444583</v>
      </c>
    </row>
    <row r="8" spans="1:14" ht="22.5" customHeight="1" x14ac:dyDescent="0.25">
      <c r="A8" s="71"/>
      <c r="B8" s="20" t="s">
        <v>17</v>
      </c>
      <c r="C8" s="13">
        <v>0</v>
      </c>
      <c r="D8" s="13"/>
      <c r="E8" s="13"/>
      <c r="F8" s="13"/>
      <c r="G8" s="13"/>
      <c r="H8" s="13"/>
      <c r="I8" s="13"/>
      <c r="J8" s="13"/>
      <c r="K8" s="13"/>
      <c r="L8" s="13"/>
      <c r="M8" s="21"/>
      <c r="N8" s="21"/>
    </row>
    <row r="9" spans="1:14" ht="22.5" customHeight="1" x14ac:dyDescent="0.25">
      <c r="A9" s="71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14" ht="22.5" customHeight="1" x14ac:dyDescent="0.25">
      <c r="A10" s="71"/>
      <c r="B10" s="22"/>
      <c r="C10" s="13">
        <v>23200</v>
      </c>
      <c r="D10" s="13">
        <v>21875</v>
      </c>
      <c r="E10" s="13">
        <v>20758</v>
      </c>
      <c r="F10" s="13">
        <f>'[1]Кемеровская область'!$L$93+'[1]Кемеровская область'!$L$94</f>
        <v>19306</v>
      </c>
      <c r="G10" s="13">
        <v>15898</v>
      </c>
      <c r="H10" s="13">
        <v>15056</v>
      </c>
      <c r="I10" s="13">
        <v>14893</v>
      </c>
      <c r="J10" s="13">
        <v>16540</v>
      </c>
      <c r="K10" s="13">
        <v>18888</v>
      </c>
      <c r="L10" s="13">
        <v>19437</v>
      </c>
      <c r="M10" s="13">
        <f>'[2]Кемеровская область'!$L$310+'[2]Кемеровская область'!$L$311</f>
        <v>25109</v>
      </c>
      <c r="N10" s="21">
        <f>'[2]Кемеровская область'!$L$339+'[2]Кемеровская область'!$L$340</f>
        <v>20855</v>
      </c>
    </row>
    <row r="11" spans="1:14" ht="22.5" customHeight="1" x14ac:dyDescent="0.25">
      <c r="A11" s="68" t="s">
        <v>18</v>
      </c>
      <c r="B11" s="69"/>
      <c r="C11" s="14">
        <f t="shared" ref="C11:N11" si="0">SUM(C5:C8,C10)</f>
        <v>119909007</v>
      </c>
      <c r="D11" s="14">
        <f t="shared" si="0"/>
        <v>111834990</v>
      </c>
      <c r="E11" s="14">
        <f t="shared" si="0"/>
        <v>114972199</v>
      </c>
      <c r="F11" s="14">
        <f t="shared" si="0"/>
        <v>99892064</v>
      </c>
      <c r="G11" s="14">
        <f t="shared" si="0"/>
        <v>99474870</v>
      </c>
      <c r="H11" s="14">
        <f t="shared" si="0"/>
        <v>90343973</v>
      </c>
      <c r="I11" s="14">
        <f t="shared" si="0"/>
        <v>94286415</v>
      </c>
      <c r="J11" s="14">
        <f t="shared" si="0"/>
        <v>92195557</v>
      </c>
      <c r="K11" s="14">
        <f t="shared" si="0"/>
        <v>93054190</v>
      </c>
      <c r="L11" s="14">
        <f t="shared" si="0"/>
        <v>108106810</v>
      </c>
      <c r="M11" s="14">
        <f t="shared" si="0"/>
        <v>117354877</v>
      </c>
      <c r="N11" s="14">
        <f t="shared" si="0"/>
        <v>125426356</v>
      </c>
    </row>
    <row r="12" spans="1:14" ht="22.5" customHeight="1" x14ac:dyDescent="0.25">
      <c r="A12" s="70" t="s">
        <v>25</v>
      </c>
      <c r="B12" s="72" t="s">
        <v>19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1:14" ht="22.5" customHeight="1" x14ac:dyDescent="0.25">
      <c r="A13" s="71"/>
      <c r="B13" s="20" t="s">
        <v>14</v>
      </c>
      <c r="C13" s="13">
        <v>1238414</v>
      </c>
      <c r="D13" s="13">
        <v>1237054</v>
      </c>
      <c r="E13" s="13">
        <v>1198697</v>
      </c>
      <c r="F13" s="13">
        <f>'[1]Кемеровская область'!$L$97</f>
        <v>1020512</v>
      </c>
      <c r="G13" s="13">
        <v>903753</v>
      </c>
      <c r="H13" s="13">
        <v>734536</v>
      </c>
      <c r="I13" s="13">
        <v>904187</v>
      </c>
      <c r="J13" s="13">
        <v>999270</v>
      </c>
      <c r="K13" s="13">
        <v>932596</v>
      </c>
      <c r="L13" s="13">
        <f>'[2]Кемеровская область'!$L$278+'[2]Кемеровская область'!$L$279</f>
        <v>1353262</v>
      </c>
      <c r="M13" s="13">
        <v>1574406</v>
      </c>
      <c r="N13" s="21">
        <v>1602964</v>
      </c>
    </row>
    <row r="14" spans="1:14" ht="22.5" customHeight="1" x14ac:dyDescent="0.25">
      <c r="A14" s="71"/>
      <c r="B14" s="20" t="s">
        <v>15</v>
      </c>
      <c r="C14" s="13">
        <v>302676</v>
      </c>
      <c r="D14" s="13">
        <v>263778</v>
      </c>
      <c r="E14" s="13">
        <v>196337</v>
      </c>
      <c r="F14" s="13">
        <f>'[1]Кемеровская область'!$L$98</f>
        <v>132366</v>
      </c>
      <c r="G14" s="13">
        <v>108185</v>
      </c>
      <c r="H14" s="13">
        <v>63973</v>
      </c>
      <c r="I14" s="13">
        <v>64031.000000000007</v>
      </c>
      <c r="J14" s="13">
        <v>67607</v>
      </c>
      <c r="K14" s="13">
        <v>79533</v>
      </c>
      <c r="L14" s="13">
        <f>'[2]Кемеровская область'!$L$280+'[2]Кемеровская область'!$L$281</f>
        <v>189533</v>
      </c>
      <c r="M14" s="13">
        <v>282054</v>
      </c>
      <c r="N14" s="21">
        <v>335781</v>
      </c>
    </row>
    <row r="15" spans="1:14" ht="22.5" customHeight="1" x14ac:dyDescent="0.25">
      <c r="A15" s="71"/>
      <c r="B15" s="20" t="s">
        <v>16</v>
      </c>
      <c r="C15" s="13">
        <v>2660338</v>
      </c>
      <c r="D15" s="13">
        <v>2544514</v>
      </c>
      <c r="E15" s="13">
        <v>2441855</v>
      </c>
      <c r="F15" s="13">
        <f>'[1]Кемеровская область'!$L$99</f>
        <v>1996813</v>
      </c>
      <c r="G15" s="13">
        <v>1870781</v>
      </c>
      <c r="H15" s="13">
        <v>1577025</v>
      </c>
      <c r="I15" s="13">
        <v>1603814</v>
      </c>
      <c r="J15" s="13">
        <v>1635824</v>
      </c>
      <c r="K15" s="13">
        <v>1641073</v>
      </c>
      <c r="L15" s="13">
        <f>'[2]Кемеровская область'!$L$282+'[2]Кемеровская область'!$L$283</f>
        <v>2241668</v>
      </c>
      <c r="M15" s="13">
        <v>2659252</v>
      </c>
      <c r="N15" s="13">
        <v>2674891</v>
      </c>
    </row>
    <row r="16" spans="1:14" ht="22.5" customHeight="1" x14ac:dyDescent="0.25">
      <c r="A16" s="71"/>
      <c r="B16" s="20" t="s">
        <v>17</v>
      </c>
      <c r="C16" s="13">
        <v>625350</v>
      </c>
      <c r="D16" s="13">
        <v>608356</v>
      </c>
      <c r="E16" s="13">
        <v>547265</v>
      </c>
      <c r="F16" s="13">
        <f>'[1]Кемеровская область'!$L$100</f>
        <v>480418</v>
      </c>
      <c r="G16" s="13">
        <v>404258</v>
      </c>
      <c r="H16" s="13">
        <v>374344</v>
      </c>
      <c r="I16" s="13">
        <v>415101</v>
      </c>
      <c r="J16" s="13">
        <v>365584</v>
      </c>
      <c r="K16" s="13">
        <v>383764</v>
      </c>
      <c r="L16" s="13">
        <f>'[2]Кемеровская область'!$L$284+'[2]Кемеровская область'!$L$285</f>
        <v>488645</v>
      </c>
      <c r="M16" s="13">
        <v>621988</v>
      </c>
      <c r="N16" s="13">
        <v>562863</v>
      </c>
    </row>
    <row r="17" spans="1:14" ht="22.5" customHeight="1" x14ac:dyDescent="0.25">
      <c r="A17" s="71"/>
      <c r="B17" s="72" t="s">
        <v>20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ht="22.5" customHeight="1" x14ac:dyDescent="0.25">
      <c r="A18" s="71"/>
      <c r="B18" s="22"/>
      <c r="C18" s="13">
        <v>2360738</v>
      </c>
      <c r="D18" s="13">
        <v>2465340</v>
      </c>
      <c r="E18" s="13">
        <v>2096063</v>
      </c>
      <c r="F18" s="13">
        <f>'[1]Кемеровская область'!$L$101+'[1]Кемеровская область'!$L$102+'[1]Кемеровская область'!$L$103+'[1]Кемеровская область'!$L$104+'[1]Кемеровская область'!$L$105+'[1]Кемеровская область'!$L$106+'[1]Кемеровская область'!$L$107+'[1]Кемеровская область'!$L$108</f>
        <v>1824327</v>
      </c>
      <c r="G18" s="13">
        <v>2746526</v>
      </c>
      <c r="H18" s="13">
        <f>'[1]Кемеровская область'!$U$159+'[1]Кемеровская область'!$U$160+'[1]Кемеровская область'!$U$161+'[1]Кемеровская область'!$U$162+'[1]Кемеровская область'!$U$163+'[1]Кемеровская область'!$U$164+'[1]Кемеровская область'!$U$165+'[1]Кемеровская область'!$U$166</f>
        <v>2640871</v>
      </c>
      <c r="I18" s="13">
        <v>2753560</v>
      </c>
      <c r="J18" s="13">
        <v>2751011</v>
      </c>
      <c r="K18" s="13">
        <v>2606913</v>
      </c>
      <c r="L18" s="13">
        <f>'[2]Кемеровская область'!$L$286+'[2]Кемеровская область'!$L$287+'[2]Кемеровская область'!$L$288+'[2]Кемеровская область'!$L$289+'[2]Кемеровская область'!$L$290+'[2]Кемеровская область'!$L$291+'[2]Кемеровская область'!$L$292+'[2]Кемеровская область'!$L$293</f>
        <v>2395989</v>
      </c>
      <c r="M18" s="13">
        <f>'[2]Кемеровская область'!$L$318+'[2]Кемеровская область'!$L$319+'[2]Кемеровская область'!$L$320+'[2]Кемеровская область'!$L$321+'[2]Кемеровская область'!$L$322+'[2]Кемеровская область'!$L$323+'[2]Кемеровская область'!$L$324+'[2]Кемеровская область'!$L$325</f>
        <v>2365822</v>
      </c>
      <c r="N18" s="13">
        <v>2337034</v>
      </c>
    </row>
    <row r="19" spans="1:14" ht="22.5" customHeight="1" x14ac:dyDescent="0.25">
      <c r="A19" s="68" t="s">
        <v>18</v>
      </c>
      <c r="B19" s="69"/>
      <c r="C19" s="14">
        <f t="shared" ref="C19:N19" si="1">SUM(C13:C16,C18)</f>
        <v>7187516</v>
      </c>
      <c r="D19" s="14">
        <f t="shared" si="1"/>
        <v>7119042</v>
      </c>
      <c r="E19" s="14">
        <f t="shared" si="1"/>
        <v>6480217</v>
      </c>
      <c r="F19" s="14">
        <f t="shared" si="1"/>
        <v>5454436</v>
      </c>
      <c r="G19" s="14">
        <f t="shared" si="1"/>
        <v>6033503</v>
      </c>
      <c r="H19" s="14">
        <f t="shared" si="1"/>
        <v>5390749</v>
      </c>
      <c r="I19" s="14">
        <f t="shared" si="1"/>
        <v>5740693</v>
      </c>
      <c r="J19" s="14">
        <f t="shared" si="1"/>
        <v>5819296</v>
      </c>
      <c r="K19" s="14">
        <f t="shared" si="1"/>
        <v>5643879</v>
      </c>
      <c r="L19" s="14">
        <f t="shared" si="1"/>
        <v>6669097</v>
      </c>
      <c r="M19" s="14">
        <f t="shared" si="1"/>
        <v>7503522</v>
      </c>
      <c r="N19" s="14">
        <f t="shared" si="1"/>
        <v>7513533</v>
      </c>
    </row>
    <row r="20" spans="1:14" ht="22.5" customHeight="1" x14ac:dyDescent="0.25">
      <c r="A20" s="70" t="s">
        <v>26</v>
      </c>
      <c r="B20" s="72" t="s">
        <v>19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</row>
    <row r="21" spans="1:14" ht="22.5" customHeight="1" x14ac:dyDescent="0.25">
      <c r="A21" s="71"/>
      <c r="B21" s="20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22.5" customHeight="1" x14ac:dyDescent="0.25">
      <c r="A22" s="71"/>
      <c r="B22" s="20" t="s">
        <v>15</v>
      </c>
      <c r="C22" s="13">
        <v>5370</v>
      </c>
      <c r="D22" s="13">
        <v>4308</v>
      </c>
      <c r="E22" s="13">
        <v>9256</v>
      </c>
      <c r="F22" s="13">
        <f>'[1]Кемеровская область'!$L$109</f>
        <v>7375</v>
      </c>
      <c r="G22" s="13">
        <v>7645.0000000000009</v>
      </c>
      <c r="H22" s="13">
        <v>7713</v>
      </c>
      <c r="I22" s="13">
        <v>3798</v>
      </c>
      <c r="J22" s="13">
        <v>4796</v>
      </c>
      <c r="K22" s="13">
        <v>42974.000000000007</v>
      </c>
      <c r="L22" s="13">
        <f>'[2]Кемеровская область'!$L$294+'[2]Кемеровская область'!$L$295</f>
        <v>4244</v>
      </c>
      <c r="M22" s="13">
        <v>70568</v>
      </c>
      <c r="N22" s="13">
        <v>4197</v>
      </c>
    </row>
    <row r="23" spans="1:14" ht="22.5" customHeight="1" x14ac:dyDescent="0.25">
      <c r="A23" s="71"/>
      <c r="B23" s="20" t="s">
        <v>16</v>
      </c>
      <c r="C23" s="13">
        <v>149522</v>
      </c>
      <c r="D23" s="13">
        <v>152067</v>
      </c>
      <c r="E23" s="13">
        <v>144513</v>
      </c>
      <c r="F23" s="13">
        <f>'[1]Кемеровская область'!$L$110</f>
        <v>113588</v>
      </c>
      <c r="G23" s="13">
        <v>95063</v>
      </c>
      <c r="H23" s="13">
        <v>41861</v>
      </c>
      <c r="I23" s="13">
        <v>40449</v>
      </c>
      <c r="J23" s="13">
        <v>16457</v>
      </c>
      <c r="K23" s="13">
        <v>29894</v>
      </c>
      <c r="L23" s="13">
        <f>'[2]Кемеровская область'!$L$296+'[2]Кемеровская область'!$L$297</f>
        <v>37647</v>
      </c>
      <c r="M23" s="13">
        <v>37904</v>
      </c>
      <c r="N23" s="13">
        <v>52797</v>
      </c>
    </row>
    <row r="24" spans="1:14" ht="22.5" customHeight="1" x14ac:dyDescent="0.25">
      <c r="A24" s="71"/>
      <c r="B24" s="20" t="s">
        <v>17</v>
      </c>
      <c r="C24" s="13">
        <v>208692</v>
      </c>
      <c r="D24" s="13">
        <v>221620</v>
      </c>
      <c r="E24" s="13">
        <v>194292</v>
      </c>
      <c r="F24" s="13">
        <f>'[1]Кемеровская область'!$L$111</f>
        <v>167568</v>
      </c>
      <c r="G24" s="13">
        <v>152278.00000000003</v>
      </c>
      <c r="H24" s="13">
        <v>132999</v>
      </c>
      <c r="I24" s="13">
        <v>133123</v>
      </c>
      <c r="J24" s="13">
        <v>146031</v>
      </c>
      <c r="K24" s="13">
        <v>143028</v>
      </c>
      <c r="L24" s="13">
        <f>'[2]Кемеровская область'!$L$298+'[2]Кемеровская область'!$L$299</f>
        <v>164278</v>
      </c>
      <c r="M24" s="13">
        <v>188079</v>
      </c>
      <c r="N24" s="13">
        <v>183796</v>
      </c>
    </row>
    <row r="25" spans="1:14" ht="22.5" customHeight="1" x14ac:dyDescent="0.25">
      <c r="A25" s="71"/>
      <c r="B25" s="72" t="s">
        <v>20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1:14" ht="22.5" customHeight="1" x14ac:dyDescent="0.25">
      <c r="A26" s="71"/>
      <c r="B26" s="22"/>
      <c r="C26" s="13">
        <v>440350</v>
      </c>
      <c r="D26" s="13">
        <v>422142</v>
      </c>
      <c r="E26" s="13">
        <v>401704</v>
      </c>
      <c r="F26" s="13">
        <f>'[1]Кемеровская область'!$L$112+'[1]Кемеровская область'!$L$113+'[1]Кемеровская область'!$L$114+'[1]Кемеровская область'!$L$115+'[1]Кемеровская область'!$L$116</f>
        <v>401799</v>
      </c>
      <c r="G26" s="13">
        <v>365387</v>
      </c>
      <c r="H26" s="13">
        <f>'[1]Кемеровская область'!$U$170+'[1]Кемеровская область'!$U$171+'[1]Кемеровская область'!$U$172+'[1]Кемеровская область'!$U$173+'[1]Кемеровская область'!$U$174</f>
        <v>445697</v>
      </c>
      <c r="I26" s="13">
        <v>398218</v>
      </c>
      <c r="J26" s="13">
        <f>'[2]Кемеровская область'!$L$228+'[2]Кемеровская область'!$L$229+'[2]Кемеровская область'!$L$230+'[2]Кемеровская область'!$L$231+'[2]Кемеровская область'!$L$232</f>
        <v>419100</v>
      </c>
      <c r="K26" s="13">
        <v>435321</v>
      </c>
      <c r="L26" s="13">
        <f>'[2]Кемеровская область'!$L$300+'[2]Кемеровская область'!$L$301+'[2]Кемеровская область'!$L$302+'[2]Кемеровская область'!$L$303+'[2]Кемеровская область'!$L$304</f>
        <v>392443</v>
      </c>
      <c r="M26" s="13">
        <f>'[2]Кемеровская область'!$L$329+'[2]Кемеровская область'!$L$330+'[2]Кемеровская область'!$L$331+'[2]Кемеровская область'!$L$332+'[2]Кемеровская область'!$L$333</f>
        <v>390535</v>
      </c>
      <c r="N26" s="13">
        <v>408971</v>
      </c>
    </row>
    <row r="27" spans="1:14" ht="22.5" customHeight="1" x14ac:dyDescent="0.25">
      <c r="A27" s="68" t="s">
        <v>18</v>
      </c>
      <c r="B27" s="69"/>
      <c r="C27" s="14">
        <f t="shared" ref="C27:M27" si="2">SUM(C21:C24,C26)</f>
        <v>803934</v>
      </c>
      <c r="D27" s="14">
        <f t="shared" si="2"/>
        <v>800137</v>
      </c>
      <c r="E27" s="14">
        <f t="shared" si="2"/>
        <v>749765</v>
      </c>
      <c r="F27" s="14">
        <f t="shared" si="2"/>
        <v>690330</v>
      </c>
      <c r="G27" s="14">
        <f t="shared" si="2"/>
        <v>620373</v>
      </c>
      <c r="H27" s="14">
        <f t="shared" si="2"/>
        <v>628270</v>
      </c>
      <c r="I27" s="14">
        <f t="shared" si="2"/>
        <v>575588</v>
      </c>
      <c r="J27" s="14">
        <f t="shared" si="2"/>
        <v>586384</v>
      </c>
      <c r="K27" s="14">
        <f t="shared" si="2"/>
        <v>651217</v>
      </c>
      <c r="L27" s="14">
        <f t="shared" si="2"/>
        <v>598612</v>
      </c>
      <c r="M27" s="14">
        <f t="shared" si="2"/>
        <v>687086</v>
      </c>
      <c r="N27" s="14">
        <f>SUM(N21:N24,N26)</f>
        <v>649761</v>
      </c>
    </row>
    <row r="30" spans="1:14" ht="13.9" hidden="1" x14ac:dyDescent="0.25">
      <c r="E30" s="15">
        <f>E27+E19+E11</f>
        <v>122202181</v>
      </c>
      <c r="F30" s="15">
        <f>F27+F19+F11</f>
        <v>106036830</v>
      </c>
    </row>
  </sheetData>
  <mergeCells count="13">
    <mergeCell ref="A12:A18"/>
    <mergeCell ref="B12:N12"/>
    <mergeCell ref="B17:N17"/>
    <mergeCell ref="A2:N2"/>
    <mergeCell ref="A4:A10"/>
    <mergeCell ref="B4:N4"/>
    <mergeCell ref="B9:N9"/>
    <mergeCell ref="A11:B11"/>
    <mergeCell ref="A19:B19"/>
    <mergeCell ref="A20:A26"/>
    <mergeCell ref="B20:N20"/>
    <mergeCell ref="B25:N25"/>
    <mergeCell ref="A27:B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zoomScale="70" zoomScaleNormal="70" workbookViewId="0">
      <pane xSplit="2" ySplit="4" topLeftCell="C71" activePane="bottomRight" state="frozen"/>
      <selection pane="topRight" activeCell="C1" sqref="C1"/>
      <selection pane="bottomLeft" activeCell="A5" sqref="A5"/>
      <selection pane="bottomRight" activeCell="I107" sqref="A102:I107"/>
    </sheetView>
  </sheetViews>
  <sheetFormatPr defaultRowHeight="15" x14ac:dyDescent="0.25"/>
  <cols>
    <col min="1" max="1" width="21" customWidth="1"/>
    <col min="2" max="2" width="10.28515625" customWidth="1"/>
    <col min="3" max="3" width="17.42578125" customWidth="1"/>
    <col min="4" max="5" width="14.7109375" customWidth="1"/>
    <col min="6" max="6" width="16" customWidth="1"/>
    <col min="7" max="7" width="14.5703125" customWidth="1"/>
    <col min="8" max="8" width="16.140625" customWidth="1"/>
    <col min="9" max="9" width="16.7109375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6" max="16" width="11.42578125" bestFit="1" customWidth="1"/>
  </cols>
  <sheetData>
    <row r="1" spans="1:17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42.75" x14ac:dyDescent="0.25">
      <c r="A3" s="17" t="s">
        <v>0</v>
      </c>
      <c r="B3" s="18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7" x14ac:dyDescent="0.25">
      <c r="A4" s="70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7" x14ac:dyDescent="0.25">
      <c r="A5" s="71"/>
      <c r="B5" s="20" t="s">
        <v>14</v>
      </c>
      <c r="C5" s="13">
        <f>101743297+1084876</f>
        <v>102828173</v>
      </c>
      <c r="D5" s="13">
        <f>88154018+856236</f>
        <v>89010254</v>
      </c>
      <c r="E5" s="13">
        <f>93772311+681594</f>
        <v>94453905</v>
      </c>
      <c r="F5" s="13">
        <f>84610969+502253</f>
        <v>85113222</v>
      </c>
      <c r="G5" s="13">
        <f>82685435+323950</f>
        <v>83009385</v>
      </c>
      <c r="H5" s="13">
        <f>78036673+235147</f>
        <v>78271820</v>
      </c>
      <c r="I5" s="13">
        <f>78670285+227394</f>
        <v>78897679</v>
      </c>
      <c r="J5" s="13">
        <v>78768598</v>
      </c>
      <c r="K5" s="13">
        <f>79987288+318495</f>
        <v>80305783</v>
      </c>
      <c r="L5" s="13">
        <f>87568732+693283</f>
        <v>88262015</v>
      </c>
      <c r="M5" s="13">
        <v>93277544</v>
      </c>
      <c r="N5" s="21">
        <v>102111830</v>
      </c>
    </row>
    <row r="6" spans="1:17" x14ac:dyDescent="0.25">
      <c r="A6" s="71"/>
      <c r="B6" s="20" t="s">
        <v>15</v>
      </c>
      <c r="C6" s="13">
        <v>24109941</v>
      </c>
      <c r="D6" s="13">
        <v>21222076</v>
      </c>
      <c r="E6" s="13">
        <v>21878866</v>
      </c>
      <c r="F6" s="13">
        <v>19413207</v>
      </c>
      <c r="G6" s="13">
        <v>18957572</v>
      </c>
      <c r="H6" s="13">
        <v>17028466</v>
      </c>
      <c r="I6" s="13">
        <v>17214613</v>
      </c>
      <c r="J6" s="13">
        <v>18417177</v>
      </c>
      <c r="K6" s="13">
        <v>18368260</v>
      </c>
      <c r="L6" s="13">
        <v>21430692</v>
      </c>
      <c r="M6" s="13">
        <v>23495607</v>
      </c>
      <c r="N6" s="21">
        <v>25715494</v>
      </c>
    </row>
    <row r="7" spans="1:17" x14ac:dyDescent="0.25">
      <c r="A7" s="71"/>
      <c r="B7" s="20" t="s">
        <v>16</v>
      </c>
      <c r="C7" s="13">
        <f>439278+27983+43743</f>
        <v>511004</v>
      </c>
      <c r="D7" s="13">
        <f>423713+23982+29736</f>
        <v>477431</v>
      </c>
      <c r="E7" s="13">
        <f>512652+25070+27429</f>
        <v>565151</v>
      </c>
      <c r="F7" s="13">
        <f>396797+27170+27436</f>
        <v>451403</v>
      </c>
      <c r="G7" s="13">
        <f>479675+22022+27429</f>
        <v>529126</v>
      </c>
      <c r="H7" s="13">
        <f>380457+23415+27851</f>
        <v>431723</v>
      </c>
      <c r="I7" s="13">
        <f>554466+46571+25984</f>
        <v>627021</v>
      </c>
      <c r="J7" s="13">
        <v>532317</v>
      </c>
      <c r="K7" s="13">
        <f>606365+27596+6455</f>
        <v>640416</v>
      </c>
      <c r="L7" s="13">
        <f>796547+23635+26069</f>
        <v>846251</v>
      </c>
      <c r="M7" s="13">
        <v>923547</v>
      </c>
      <c r="N7" s="21">
        <v>876342</v>
      </c>
    </row>
    <row r="8" spans="1:17" x14ac:dyDescent="0.25">
      <c r="A8" s="71"/>
      <c r="B8" s="20" t="s">
        <v>17</v>
      </c>
      <c r="C8" s="13">
        <f>1808+434</f>
        <v>2242</v>
      </c>
      <c r="D8" s="13">
        <f>1717+472</f>
        <v>2189</v>
      </c>
      <c r="E8" s="13">
        <f>542+900</f>
        <v>1442</v>
      </c>
      <c r="F8" s="13">
        <f>1639+685</f>
        <v>2324</v>
      </c>
      <c r="G8" s="13">
        <f>147+474</f>
        <v>621</v>
      </c>
      <c r="H8" s="13">
        <f>417+843</f>
        <v>1260</v>
      </c>
      <c r="I8" s="13">
        <f>6+288</f>
        <v>294</v>
      </c>
      <c r="J8" s="13">
        <v>461</v>
      </c>
      <c r="K8" s="13">
        <f>23+431</f>
        <v>454</v>
      </c>
      <c r="L8" s="13">
        <f>19+489</f>
        <v>508</v>
      </c>
      <c r="M8" s="21">
        <v>526</v>
      </c>
      <c r="N8" s="21">
        <v>5115</v>
      </c>
    </row>
    <row r="9" spans="1:17" x14ac:dyDescent="0.25">
      <c r="A9" s="71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17" x14ac:dyDescent="0.25">
      <c r="A10" s="71"/>
      <c r="B10" s="22"/>
      <c r="C10" s="13">
        <f>17244+2273</f>
        <v>19517</v>
      </c>
      <c r="D10" s="13">
        <f>19625+1752</f>
        <v>21377</v>
      </c>
      <c r="E10" s="13">
        <f>21579+1255</f>
        <v>22834</v>
      </c>
      <c r="F10" s="13">
        <f>17554+1023</f>
        <v>18577</v>
      </c>
      <c r="G10" s="13">
        <f>16432+997</f>
        <v>17429</v>
      </c>
      <c r="H10" s="13">
        <f>15826+790</f>
        <v>16616</v>
      </c>
      <c r="I10" s="13">
        <f>14986+637</f>
        <v>15623</v>
      </c>
      <c r="J10" s="13">
        <v>16264</v>
      </c>
      <c r="K10" s="13">
        <f>19299+769</f>
        <v>20068</v>
      </c>
      <c r="L10" s="13">
        <f>22538+778</f>
        <v>23316</v>
      </c>
      <c r="M10" s="13">
        <v>22925</v>
      </c>
      <c r="N10" s="21">
        <v>19843</v>
      </c>
    </row>
    <row r="11" spans="1:17" x14ac:dyDescent="0.25">
      <c r="A11" s="68" t="s">
        <v>18</v>
      </c>
      <c r="B11" s="69"/>
      <c r="C11" s="14">
        <f t="shared" ref="C11:N11" si="0">SUM(C5:C8,C10)</f>
        <v>127470877</v>
      </c>
      <c r="D11" s="14">
        <f t="shared" si="0"/>
        <v>110733327</v>
      </c>
      <c r="E11" s="14">
        <f>SUM(E5:E8,E10)</f>
        <v>116922198</v>
      </c>
      <c r="F11" s="14">
        <f t="shared" si="0"/>
        <v>104998733</v>
      </c>
      <c r="G11" s="14">
        <f>SUM(G5:G8,G10)</f>
        <v>102514133</v>
      </c>
      <c r="H11" s="14">
        <f t="shared" si="0"/>
        <v>95749885</v>
      </c>
      <c r="I11" s="14">
        <f>SUM(I5:I8,I10)</f>
        <v>96755230</v>
      </c>
      <c r="J11" s="14">
        <f>SUM(J5:J8,J10)</f>
        <v>97734817</v>
      </c>
      <c r="K11" s="14">
        <f t="shared" si="0"/>
        <v>99334981</v>
      </c>
      <c r="L11" s="14">
        <f t="shared" si="0"/>
        <v>110562782</v>
      </c>
      <c r="M11" s="14">
        <f t="shared" si="0"/>
        <v>117720149</v>
      </c>
      <c r="N11" s="14">
        <f t="shared" si="0"/>
        <v>128728624</v>
      </c>
      <c r="P11" s="23"/>
      <c r="Q11" s="23"/>
    </row>
    <row r="12" spans="1:17" x14ac:dyDescent="0.25">
      <c r="A12" s="70" t="s">
        <v>25</v>
      </c>
      <c r="B12" s="72" t="s">
        <v>19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1:17" x14ac:dyDescent="0.25">
      <c r="A13" s="71"/>
      <c r="B13" s="20" t="s">
        <v>14</v>
      </c>
      <c r="C13" s="13">
        <f>1534390+95304</f>
        <v>1629694</v>
      </c>
      <c r="D13" s="13">
        <f>1456010+89705</f>
        <v>1545715</v>
      </c>
      <c r="E13" s="13">
        <f>1343067+84285</f>
        <v>1427352</v>
      </c>
      <c r="F13" s="13">
        <f>1162146+70972</f>
        <v>1233118</v>
      </c>
      <c r="G13" s="13">
        <f>1068406+55302</f>
        <v>1123708</v>
      </c>
      <c r="H13" s="13">
        <f>951002+50661</f>
        <v>1001663</v>
      </c>
      <c r="I13" s="13">
        <f>1003787+50732</f>
        <v>1054519</v>
      </c>
      <c r="J13" s="13">
        <v>1106172</v>
      </c>
      <c r="K13" s="13">
        <f>1304991+51217</f>
        <v>1356208</v>
      </c>
      <c r="L13" s="13">
        <f>1771648+68052</f>
        <v>1839700</v>
      </c>
      <c r="M13" s="13">
        <v>1895059</v>
      </c>
      <c r="N13" s="21">
        <v>2025127</v>
      </c>
    </row>
    <row r="14" spans="1:17" x14ac:dyDescent="0.25">
      <c r="A14" s="71"/>
      <c r="B14" s="20" t="s">
        <v>15</v>
      </c>
      <c r="C14" s="13">
        <v>335608</v>
      </c>
      <c r="D14" s="13">
        <v>291671</v>
      </c>
      <c r="E14" s="13">
        <v>225125</v>
      </c>
      <c r="F14" s="13">
        <v>171854</v>
      </c>
      <c r="G14" s="13">
        <v>115539</v>
      </c>
      <c r="H14" s="13">
        <v>85138</v>
      </c>
      <c r="I14" s="13">
        <v>80073</v>
      </c>
      <c r="J14" s="13">
        <v>97040</v>
      </c>
      <c r="K14" s="13">
        <v>126633</v>
      </c>
      <c r="L14" s="13">
        <v>168806</v>
      </c>
      <c r="M14" s="13">
        <v>248573</v>
      </c>
      <c r="N14" s="21">
        <v>309508</v>
      </c>
    </row>
    <row r="15" spans="1:17" x14ac:dyDescent="0.25">
      <c r="A15" s="71"/>
      <c r="B15" s="20" t="s">
        <v>16</v>
      </c>
      <c r="C15" s="13">
        <f>2513079+191600</f>
        <v>2704679</v>
      </c>
      <c r="D15" s="13">
        <f>2352482+175849</f>
        <v>2528331</v>
      </c>
      <c r="E15" s="13">
        <f>2207160+161065</f>
        <v>2368225</v>
      </c>
      <c r="F15" s="13">
        <f>1989979+137294</f>
        <v>2127273</v>
      </c>
      <c r="G15" s="13">
        <f>1769119+111805</f>
        <v>1880924</v>
      </c>
      <c r="H15" s="13">
        <f>1594114+94883</f>
        <v>1688997</v>
      </c>
      <c r="I15" s="13">
        <f>1628270+95069</f>
        <v>1723339</v>
      </c>
      <c r="J15" s="13">
        <v>1771377</v>
      </c>
      <c r="K15" s="13">
        <f>1902093+109555</f>
        <v>2011648</v>
      </c>
      <c r="L15" s="13">
        <f>2207330+126969</f>
        <v>2334299</v>
      </c>
      <c r="M15" s="13">
        <v>2438547</v>
      </c>
      <c r="N15" s="13">
        <v>2631209</v>
      </c>
    </row>
    <row r="16" spans="1:17" x14ac:dyDescent="0.25">
      <c r="A16" s="71"/>
      <c r="B16" s="20" t="s">
        <v>17</v>
      </c>
      <c r="C16" s="13">
        <v>580799</v>
      </c>
      <c r="D16" s="13">
        <v>531622</v>
      </c>
      <c r="E16" s="13">
        <v>492071</v>
      </c>
      <c r="F16" s="13">
        <v>423453</v>
      </c>
      <c r="G16" s="13">
        <v>369743</v>
      </c>
      <c r="H16" s="13">
        <v>374335</v>
      </c>
      <c r="I16" s="13">
        <v>358983</v>
      </c>
      <c r="J16" s="13">
        <v>363782</v>
      </c>
      <c r="K16" s="13">
        <v>384309</v>
      </c>
      <c r="L16" s="13">
        <v>481425</v>
      </c>
      <c r="M16" s="13">
        <v>562884</v>
      </c>
      <c r="N16" s="13">
        <v>638212</v>
      </c>
    </row>
    <row r="17" spans="1:16" x14ac:dyDescent="0.25">
      <c r="A17" s="71"/>
      <c r="B17" s="72" t="s">
        <v>20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6" x14ac:dyDescent="0.25">
      <c r="A18" s="71"/>
      <c r="B18" s="22"/>
      <c r="C18" s="13">
        <f>2481794+299468</f>
        <v>2781262</v>
      </c>
      <c r="D18" s="13">
        <f>2235921+274138</f>
        <v>2510059</v>
      </c>
      <c r="E18" s="13">
        <f>2182041+269564</f>
        <v>2451605</v>
      </c>
      <c r="F18" s="13">
        <f>2039664+234126</f>
        <v>2273790</v>
      </c>
      <c r="G18" s="13">
        <f>2589722+199912</f>
        <v>2789634</v>
      </c>
      <c r="H18" s="13">
        <f>2729891+169824</f>
        <v>2899715</v>
      </c>
      <c r="I18" s="13">
        <f>2605955+169512</f>
        <v>2775467</v>
      </c>
      <c r="J18" s="13">
        <v>2811421</v>
      </c>
      <c r="K18" s="13">
        <f>2556901+124269</f>
        <v>2681170</v>
      </c>
      <c r="L18" s="13">
        <f>2284578+126428</f>
        <v>2411006</v>
      </c>
      <c r="M18" s="13">
        <v>2370821</v>
      </c>
      <c r="N18" s="13">
        <v>2505760</v>
      </c>
    </row>
    <row r="19" spans="1:16" x14ac:dyDescent="0.25">
      <c r="A19" s="68" t="s">
        <v>18</v>
      </c>
      <c r="B19" s="69"/>
      <c r="C19" s="14">
        <f t="shared" ref="C19:N19" si="1">SUM(C13:C16,C18)</f>
        <v>8032042</v>
      </c>
      <c r="D19" s="14">
        <f t="shared" si="1"/>
        <v>7407398</v>
      </c>
      <c r="E19" s="14">
        <f>SUM(E13:E16,E18)</f>
        <v>6964378</v>
      </c>
      <c r="F19" s="14">
        <f t="shared" si="1"/>
        <v>6229488</v>
      </c>
      <c r="G19" s="14">
        <f>SUM(G13:G16,G18)</f>
        <v>6279548</v>
      </c>
      <c r="H19" s="14">
        <f t="shared" si="1"/>
        <v>6049848</v>
      </c>
      <c r="I19" s="14">
        <f>SUM(I13:I16,I18)</f>
        <v>5992381</v>
      </c>
      <c r="J19" s="14">
        <f>SUM(J13:J16,J18)</f>
        <v>6149792</v>
      </c>
      <c r="K19" s="14">
        <f t="shared" si="1"/>
        <v>6559968</v>
      </c>
      <c r="L19" s="14">
        <f t="shared" si="1"/>
        <v>7235236</v>
      </c>
      <c r="M19" s="14">
        <f t="shared" si="1"/>
        <v>7515884</v>
      </c>
      <c r="N19" s="14">
        <f t="shared" si="1"/>
        <v>8109816</v>
      </c>
    </row>
    <row r="20" spans="1:16" x14ac:dyDescent="0.25">
      <c r="A20" s="70" t="s">
        <v>26</v>
      </c>
      <c r="B20" s="72" t="s">
        <v>19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</row>
    <row r="21" spans="1:16" x14ac:dyDescent="0.25">
      <c r="A21" s="71"/>
      <c r="B21" s="20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6" x14ac:dyDescent="0.25">
      <c r="A22" s="71"/>
      <c r="B22" s="20" t="s">
        <v>15</v>
      </c>
      <c r="C22" s="13">
        <v>4953</v>
      </c>
      <c r="D22" s="13">
        <v>6422.0000000000009</v>
      </c>
      <c r="E22" s="13">
        <v>5521</v>
      </c>
      <c r="F22" s="13">
        <v>4473</v>
      </c>
      <c r="G22" s="13">
        <v>3490</v>
      </c>
      <c r="H22" s="13">
        <v>3102.9999999999995</v>
      </c>
      <c r="I22" s="13">
        <v>2953.0000000000005</v>
      </c>
      <c r="J22" s="13">
        <v>3133</v>
      </c>
      <c r="K22" s="13">
        <v>5204.0000000000009</v>
      </c>
      <c r="L22" s="13">
        <v>5063.0000000000009</v>
      </c>
      <c r="M22" s="13">
        <v>3690.0000000000005</v>
      </c>
      <c r="N22" s="13">
        <v>4242</v>
      </c>
      <c r="P22" s="23"/>
    </row>
    <row r="23" spans="1:16" x14ac:dyDescent="0.25">
      <c r="A23" s="71"/>
      <c r="B23" s="20" t="s">
        <v>16</v>
      </c>
      <c r="C23" s="13">
        <v>54022</v>
      </c>
      <c r="D23" s="13">
        <v>50265</v>
      </c>
      <c r="E23" s="13">
        <v>48275</v>
      </c>
      <c r="F23" s="13">
        <v>57674</v>
      </c>
      <c r="G23" s="13">
        <v>39372</v>
      </c>
      <c r="H23" s="13">
        <v>28230</v>
      </c>
      <c r="I23" s="13">
        <v>53988</v>
      </c>
      <c r="J23" s="13">
        <v>24259</v>
      </c>
      <c r="K23" s="13">
        <v>38328</v>
      </c>
      <c r="L23" s="13">
        <v>51535</v>
      </c>
      <c r="M23" s="13">
        <v>50333</v>
      </c>
      <c r="N23" s="13">
        <v>45842</v>
      </c>
    </row>
    <row r="24" spans="1:16" x14ac:dyDescent="0.25">
      <c r="A24" s="71"/>
      <c r="B24" s="20" t="s">
        <v>17</v>
      </c>
      <c r="C24" s="13">
        <f>193302+5062</f>
        <v>198364</v>
      </c>
      <c r="D24" s="13">
        <f>165609+5261</f>
        <v>170870</v>
      </c>
      <c r="E24" s="13">
        <f>145822+4660</f>
        <v>150482</v>
      </c>
      <c r="F24" s="13">
        <f>133112+5253</f>
        <v>138365</v>
      </c>
      <c r="G24" s="13">
        <f>121581+3517</f>
        <v>125098</v>
      </c>
      <c r="H24" s="13">
        <f>122665+1296</f>
        <v>123961</v>
      </c>
      <c r="I24" s="13">
        <f>127489+1113</f>
        <v>128602</v>
      </c>
      <c r="J24" s="13">
        <v>128928</v>
      </c>
      <c r="K24" s="13">
        <f>133181+2473</f>
        <v>135654</v>
      </c>
      <c r="L24" s="13">
        <v>152909</v>
      </c>
      <c r="M24" s="13">
        <v>164912</v>
      </c>
      <c r="N24" s="13">
        <f>172185+4825</f>
        <v>177010</v>
      </c>
    </row>
    <row r="25" spans="1:16" x14ac:dyDescent="0.25">
      <c r="A25" s="71"/>
      <c r="B25" s="72" t="s">
        <v>20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P25" s="23"/>
    </row>
    <row r="26" spans="1:16" x14ac:dyDescent="0.25">
      <c r="A26" s="71"/>
      <c r="B26" s="22"/>
      <c r="C26" s="13">
        <f>412461+6283+8810</f>
        <v>427554</v>
      </c>
      <c r="D26" s="13">
        <f>402219+6761+5426</f>
        <v>414406</v>
      </c>
      <c r="E26" s="13">
        <f>384897+5467+6817</f>
        <v>397181</v>
      </c>
      <c r="F26" s="13">
        <f>385562+6202+7111</f>
        <v>398875</v>
      </c>
      <c r="G26" s="13">
        <f>393553+6740+5141</f>
        <v>405434</v>
      </c>
      <c r="H26" s="13">
        <f>424114+5630+7654</f>
        <v>437398</v>
      </c>
      <c r="I26" s="13">
        <f>383995+7394+5100</f>
        <v>396489</v>
      </c>
      <c r="J26" s="13">
        <v>429548</v>
      </c>
      <c r="K26" s="13">
        <f>404549+7215+6406</f>
        <v>418170</v>
      </c>
      <c r="L26" s="13">
        <f>406428+6038</f>
        <v>412466</v>
      </c>
      <c r="M26" s="13">
        <v>411888</v>
      </c>
      <c r="N26" s="13">
        <f>(403752+9555)+6569</f>
        <v>419876</v>
      </c>
    </row>
    <row r="27" spans="1:16" x14ac:dyDescent="0.25">
      <c r="A27" s="68" t="s">
        <v>18</v>
      </c>
      <c r="B27" s="69"/>
      <c r="C27" s="14">
        <f t="shared" ref="C27:M27" si="2">SUM(C21:C24,C26)</f>
        <v>684893</v>
      </c>
      <c r="D27" s="14">
        <f t="shared" si="2"/>
        <v>641963</v>
      </c>
      <c r="E27" s="14">
        <f>SUM(E21:E24,E26)</f>
        <v>601459</v>
      </c>
      <c r="F27" s="14">
        <f t="shared" si="2"/>
        <v>599387</v>
      </c>
      <c r="G27" s="14">
        <f>SUM(G21:G24,G26)</f>
        <v>573394</v>
      </c>
      <c r="H27" s="14">
        <f t="shared" si="2"/>
        <v>592692</v>
      </c>
      <c r="I27" s="14">
        <f>SUM(I21:I24,I26)</f>
        <v>582032</v>
      </c>
      <c r="J27" s="14">
        <f>SUM(J21:J24,J26)</f>
        <v>585868</v>
      </c>
      <c r="K27" s="14">
        <f t="shared" si="2"/>
        <v>597356</v>
      </c>
      <c r="L27" s="14">
        <f t="shared" si="2"/>
        <v>621973</v>
      </c>
      <c r="M27" s="14">
        <f t="shared" si="2"/>
        <v>630823</v>
      </c>
      <c r="N27" s="14">
        <f>SUM(N21:N24,N26)</f>
        <v>646970</v>
      </c>
    </row>
    <row r="28" spans="1:16" x14ac:dyDescent="0.25">
      <c r="A28" s="70" t="s">
        <v>38</v>
      </c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1:16" x14ac:dyDescent="0.25">
      <c r="A29" s="71"/>
      <c r="B29" s="20" t="s">
        <v>14</v>
      </c>
      <c r="C29" s="13">
        <v>277882</v>
      </c>
      <c r="D29" s="13">
        <v>248632</v>
      </c>
      <c r="E29" s="13">
        <v>234001</v>
      </c>
      <c r="F29" s="13">
        <v>206253</v>
      </c>
      <c r="G29" s="13">
        <v>177311</v>
      </c>
      <c r="H29" s="13">
        <v>115968</v>
      </c>
      <c r="I29" s="13">
        <v>121638</v>
      </c>
      <c r="J29" s="13">
        <v>141585</v>
      </c>
      <c r="K29" s="13">
        <v>169321</v>
      </c>
      <c r="L29" s="13"/>
      <c r="M29" s="13"/>
      <c r="N29" s="21"/>
    </row>
    <row r="30" spans="1:16" x14ac:dyDescent="0.25">
      <c r="A30" s="71"/>
      <c r="B30" s="20" t="s">
        <v>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/>
    </row>
    <row r="31" spans="1:16" x14ac:dyDescent="0.25">
      <c r="A31" s="71"/>
      <c r="B31" s="20" t="s">
        <v>16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1"/>
    </row>
    <row r="32" spans="1:16" x14ac:dyDescent="0.25">
      <c r="A32" s="71"/>
      <c r="B32" s="20" t="s">
        <v>17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21"/>
      <c r="N32" s="21"/>
    </row>
    <row r="33" spans="1:14" x14ac:dyDescent="0.25">
      <c r="A33" s="71"/>
      <c r="B33" s="72" t="s">
        <v>20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</row>
    <row r="34" spans="1:14" x14ac:dyDescent="0.25">
      <c r="A34" s="71"/>
      <c r="B34" s="2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1"/>
    </row>
    <row r="35" spans="1:14" x14ac:dyDescent="0.25">
      <c r="A35" s="68" t="s">
        <v>18</v>
      </c>
      <c r="B35" s="69"/>
      <c r="C35" s="14">
        <f t="shared" ref="C35:N35" si="3">SUM(C29:C32,C34)</f>
        <v>277882</v>
      </c>
      <c r="D35" s="14">
        <f t="shared" si="3"/>
        <v>248632</v>
      </c>
      <c r="E35" s="14">
        <f t="shared" si="3"/>
        <v>234001</v>
      </c>
      <c r="F35" s="14">
        <f t="shared" si="3"/>
        <v>206253</v>
      </c>
      <c r="G35" s="14">
        <f t="shared" si="3"/>
        <v>177311</v>
      </c>
      <c r="H35" s="14">
        <f t="shared" si="3"/>
        <v>115968</v>
      </c>
      <c r="I35" s="14">
        <f>SUM(I29:I32,I34)</f>
        <v>121638</v>
      </c>
      <c r="J35" s="14">
        <f>SUM(J29:J32,J34)</f>
        <v>141585</v>
      </c>
      <c r="K35" s="14">
        <f t="shared" si="3"/>
        <v>169321</v>
      </c>
      <c r="L35" s="14">
        <f t="shared" si="3"/>
        <v>0</v>
      </c>
      <c r="M35" s="14">
        <f t="shared" si="3"/>
        <v>0</v>
      </c>
      <c r="N35" s="14">
        <f t="shared" si="3"/>
        <v>0</v>
      </c>
    </row>
    <row r="36" spans="1:14" x14ac:dyDescent="0.25">
      <c r="A36" s="70" t="s">
        <v>31</v>
      </c>
      <c r="B36" s="72" t="s">
        <v>19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1:14" x14ac:dyDescent="0.25">
      <c r="A37" s="71"/>
      <c r="B37" s="20" t="s">
        <v>14</v>
      </c>
      <c r="C37" s="13">
        <v>0</v>
      </c>
      <c r="D37" s="13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21">
        <v>0</v>
      </c>
    </row>
    <row r="38" spans="1:14" x14ac:dyDescent="0.25">
      <c r="A38" s="71"/>
      <c r="B38" s="20" t="s">
        <v>15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1">
        <v>0</v>
      </c>
    </row>
    <row r="39" spans="1:14" x14ac:dyDescent="0.25">
      <c r="A39" s="71"/>
      <c r="B39" s="20" t="s">
        <v>16</v>
      </c>
      <c r="C39" s="13">
        <v>318800</v>
      </c>
      <c r="D39" s="13">
        <v>286740</v>
      </c>
      <c r="E39" s="13">
        <v>261146</v>
      </c>
      <c r="F39" s="13">
        <v>211921</v>
      </c>
      <c r="G39" s="13">
        <v>159365</v>
      </c>
      <c r="H39" s="13">
        <v>134470</v>
      </c>
      <c r="I39" s="13">
        <v>131937</v>
      </c>
      <c r="J39" s="13">
        <v>138361</v>
      </c>
      <c r="K39" s="13">
        <v>187563</v>
      </c>
      <c r="L39" s="13">
        <v>280545</v>
      </c>
      <c r="M39" s="13">
        <v>271570</v>
      </c>
      <c r="N39" s="21">
        <v>301968</v>
      </c>
    </row>
    <row r="40" spans="1:14" x14ac:dyDescent="0.25">
      <c r="A40" s="71"/>
      <c r="B40" s="20" t="s">
        <v>17</v>
      </c>
      <c r="C40" s="13">
        <v>6999</v>
      </c>
      <c r="D40" s="13">
        <v>5797</v>
      </c>
      <c r="E40" s="13">
        <v>5495</v>
      </c>
      <c r="F40" s="13">
        <v>4650</v>
      </c>
      <c r="G40" s="13">
        <v>3640</v>
      </c>
      <c r="H40" s="13">
        <v>1631</v>
      </c>
      <c r="I40" s="13">
        <v>1697</v>
      </c>
      <c r="J40" s="13">
        <v>1863</v>
      </c>
      <c r="K40" s="13">
        <v>4465</v>
      </c>
      <c r="L40" s="13">
        <v>5340</v>
      </c>
      <c r="M40" s="21">
        <v>6295</v>
      </c>
      <c r="N40" s="21">
        <v>6539</v>
      </c>
    </row>
    <row r="41" spans="1:14" x14ac:dyDescent="0.25">
      <c r="A41" s="71"/>
      <c r="B41" s="72" t="s">
        <v>20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4" x14ac:dyDescent="0.25">
      <c r="A42" s="71"/>
      <c r="B42" s="22"/>
      <c r="C42" s="13">
        <v>6404</v>
      </c>
      <c r="D42" s="13">
        <v>4921</v>
      </c>
      <c r="E42" s="13">
        <v>5185</v>
      </c>
      <c r="F42" s="13">
        <v>5082</v>
      </c>
      <c r="G42" s="13">
        <v>5183</v>
      </c>
      <c r="H42" s="13">
        <v>4557</v>
      </c>
      <c r="I42" s="13">
        <v>4341</v>
      </c>
      <c r="J42" s="13">
        <v>4349</v>
      </c>
      <c r="K42" s="13">
        <v>5386</v>
      </c>
      <c r="L42" s="13">
        <v>5094</v>
      </c>
      <c r="M42" s="13">
        <v>5671</v>
      </c>
      <c r="N42" s="21">
        <v>5908</v>
      </c>
    </row>
    <row r="43" spans="1:14" x14ac:dyDescent="0.25">
      <c r="A43" s="68" t="s">
        <v>18</v>
      </c>
      <c r="B43" s="69"/>
      <c r="C43" s="14">
        <f t="shared" ref="C43:N43" si="4">SUM(C37:C40,C42)</f>
        <v>332203</v>
      </c>
      <c r="D43" s="14">
        <f t="shared" si="4"/>
        <v>297458</v>
      </c>
      <c r="E43" s="14">
        <f>SUM(E37:E40,E42)</f>
        <v>271826</v>
      </c>
      <c r="F43" s="14">
        <f t="shared" si="4"/>
        <v>221653</v>
      </c>
      <c r="G43" s="14">
        <f>SUM(G37:G40,G42)</f>
        <v>168188</v>
      </c>
      <c r="H43" s="14">
        <f t="shared" si="4"/>
        <v>140658</v>
      </c>
      <c r="I43" s="14">
        <f>SUM(I37:I40,I42)</f>
        <v>137975</v>
      </c>
      <c r="J43" s="14">
        <f>SUM(J37:J40,J42)</f>
        <v>144573</v>
      </c>
      <c r="K43" s="14">
        <f t="shared" si="4"/>
        <v>197414</v>
      </c>
      <c r="L43" s="14">
        <f t="shared" si="4"/>
        <v>290979</v>
      </c>
      <c r="M43" s="14">
        <f t="shared" si="4"/>
        <v>283536</v>
      </c>
      <c r="N43" s="14">
        <f t="shared" si="4"/>
        <v>314415</v>
      </c>
    </row>
    <row r="44" spans="1:14" x14ac:dyDescent="0.25">
      <c r="A44" s="70" t="s">
        <v>32</v>
      </c>
      <c r="B44" s="72" t="s">
        <v>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14" x14ac:dyDescent="0.25">
      <c r="A45" s="71"/>
      <c r="B45" s="20" t="s">
        <v>14</v>
      </c>
      <c r="C45" s="13">
        <v>0</v>
      </c>
      <c r="D45" s="13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21"/>
    </row>
    <row r="46" spans="1:14" x14ac:dyDescent="0.25">
      <c r="A46" s="71"/>
      <c r="B46" s="20" t="s">
        <v>15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1"/>
    </row>
    <row r="47" spans="1:14" x14ac:dyDescent="0.25">
      <c r="A47" s="71"/>
      <c r="B47" s="20" t="s">
        <v>16</v>
      </c>
      <c r="C47" s="13">
        <f>269503+46</f>
        <v>269549</v>
      </c>
      <c r="D47" s="13">
        <f>260944+349</f>
        <v>261293</v>
      </c>
      <c r="E47" s="13">
        <f>228180+422</f>
        <v>228602</v>
      </c>
      <c r="F47" s="13">
        <f>179+200557</f>
        <v>200736</v>
      </c>
      <c r="G47" s="13">
        <f>602+145184</f>
        <v>145786</v>
      </c>
      <c r="H47" s="13">
        <f>130556+304</f>
        <v>130860</v>
      </c>
      <c r="I47" s="13">
        <f>804+124916</f>
        <v>125720</v>
      </c>
      <c r="J47" s="13">
        <v>158885</v>
      </c>
      <c r="K47" s="13">
        <f>593+165137</f>
        <v>165730</v>
      </c>
      <c r="L47" s="13">
        <f>1078+197433</f>
        <v>198511</v>
      </c>
      <c r="M47" s="13">
        <v>235885</v>
      </c>
      <c r="N47" s="21">
        <v>250769</v>
      </c>
    </row>
    <row r="48" spans="1:14" x14ac:dyDescent="0.25">
      <c r="A48" s="71"/>
      <c r="B48" s="20" t="s">
        <v>17</v>
      </c>
      <c r="C48" s="13">
        <f>25348+1919</f>
        <v>27267</v>
      </c>
      <c r="D48" s="13">
        <f>28841+1937</f>
        <v>30778</v>
      </c>
      <c r="E48" s="13">
        <f>30894+1445</f>
        <v>32339</v>
      </c>
      <c r="F48" s="13">
        <f>964+30732</f>
        <v>31696</v>
      </c>
      <c r="G48" s="13">
        <f>130+28623</f>
        <v>28753</v>
      </c>
      <c r="H48" s="13">
        <f>12371+107</f>
        <v>12478</v>
      </c>
      <c r="I48" s="13">
        <f>116+16894</f>
        <v>17010</v>
      </c>
      <c r="J48" s="13">
        <v>19321</v>
      </c>
      <c r="K48" s="13">
        <f>188+20856</f>
        <v>21044</v>
      </c>
      <c r="L48" s="13">
        <f>249+20384</f>
        <v>20633</v>
      </c>
      <c r="M48" s="21">
        <v>32736</v>
      </c>
      <c r="N48" s="21">
        <v>33591</v>
      </c>
    </row>
    <row r="49" spans="1:14" x14ac:dyDescent="0.25">
      <c r="A49" s="71"/>
      <c r="B49" s="72" t="s">
        <v>20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</row>
    <row r="50" spans="1:14" x14ac:dyDescent="0.25">
      <c r="A50" s="71"/>
      <c r="B50" s="22"/>
      <c r="C50" s="13"/>
      <c r="D50" s="13">
        <v>200</v>
      </c>
      <c r="E50" s="13">
        <v>215</v>
      </c>
      <c r="F50" s="13">
        <v>200</v>
      </c>
      <c r="G50" s="13">
        <v>200</v>
      </c>
      <c r="H50" s="13">
        <v>200</v>
      </c>
      <c r="I50" s="13">
        <v>200</v>
      </c>
      <c r="J50" s="13">
        <v>198</v>
      </c>
      <c r="K50" s="13">
        <v>200</v>
      </c>
      <c r="L50" s="13">
        <v>200</v>
      </c>
      <c r="M50" s="13">
        <v>200</v>
      </c>
      <c r="N50" s="21">
        <v>200</v>
      </c>
    </row>
    <row r="51" spans="1:14" x14ac:dyDescent="0.25">
      <c r="A51" s="68" t="s">
        <v>18</v>
      </c>
      <c r="B51" s="69"/>
      <c r="C51" s="14">
        <f t="shared" ref="C51:N51" si="5">SUM(C45:C48,C50)</f>
        <v>296816</v>
      </c>
      <c r="D51" s="14">
        <f t="shared" si="5"/>
        <v>292271</v>
      </c>
      <c r="E51" s="14">
        <f>SUM(E45:E48,E50)</f>
        <v>261156</v>
      </c>
      <c r="F51" s="14">
        <f t="shared" si="5"/>
        <v>232632</v>
      </c>
      <c r="G51" s="14">
        <f>SUM(G45:G48,G50)</f>
        <v>174739</v>
      </c>
      <c r="H51" s="14">
        <f t="shared" si="5"/>
        <v>143538</v>
      </c>
      <c r="I51" s="14">
        <f>SUM(I45:I48,I50)</f>
        <v>142930</v>
      </c>
      <c r="J51" s="14">
        <f>SUM(J45:J48,J50)</f>
        <v>178404</v>
      </c>
      <c r="K51" s="14">
        <f t="shared" si="5"/>
        <v>186974</v>
      </c>
      <c r="L51" s="14">
        <f t="shared" si="5"/>
        <v>219344</v>
      </c>
      <c r="M51" s="14">
        <f t="shared" si="5"/>
        <v>268821</v>
      </c>
      <c r="N51" s="14">
        <f t="shared" si="5"/>
        <v>284560</v>
      </c>
    </row>
    <row r="52" spans="1:14" x14ac:dyDescent="0.25">
      <c r="A52" s="70" t="s">
        <v>33</v>
      </c>
      <c r="B52" s="72" t="s">
        <v>19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</row>
    <row r="53" spans="1:14" x14ac:dyDescent="0.25">
      <c r="A53" s="71"/>
      <c r="B53" s="20" t="s">
        <v>14</v>
      </c>
      <c r="C53" s="13">
        <v>0</v>
      </c>
      <c r="D53" s="13">
        <v>0</v>
      </c>
      <c r="E53" s="13"/>
      <c r="F53" s="13"/>
      <c r="G53" s="13"/>
      <c r="H53" s="13"/>
      <c r="I53" s="13"/>
      <c r="J53" s="13"/>
      <c r="K53" s="13"/>
      <c r="L53" s="13"/>
      <c r="M53" s="13"/>
      <c r="N53" s="21"/>
    </row>
    <row r="54" spans="1:14" x14ac:dyDescent="0.25">
      <c r="A54" s="71"/>
      <c r="B54" s="20" t="s">
        <v>15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1"/>
    </row>
    <row r="55" spans="1:14" x14ac:dyDescent="0.25">
      <c r="A55" s="71"/>
      <c r="B55" s="20" t="s">
        <v>16</v>
      </c>
      <c r="C55" s="13">
        <v>54478</v>
      </c>
      <c r="D55" s="13">
        <v>51892</v>
      </c>
      <c r="E55" s="13">
        <v>51685</v>
      </c>
      <c r="F55" s="13">
        <v>42669</v>
      </c>
      <c r="G55" s="13">
        <v>39399</v>
      </c>
      <c r="H55" s="13">
        <v>34954</v>
      </c>
      <c r="I55" s="13">
        <v>34298</v>
      </c>
      <c r="J55" s="13">
        <v>74373</v>
      </c>
      <c r="K55" s="13">
        <v>101954</v>
      </c>
      <c r="L55" s="13">
        <v>92820</v>
      </c>
      <c r="M55" s="13">
        <v>102467</v>
      </c>
      <c r="N55" s="21">
        <v>106799</v>
      </c>
    </row>
    <row r="56" spans="1:14" x14ac:dyDescent="0.25">
      <c r="A56" s="71"/>
      <c r="B56" s="20" t="s">
        <v>17</v>
      </c>
      <c r="C56" s="13">
        <v>0</v>
      </c>
      <c r="D56" s="13">
        <v>0</v>
      </c>
      <c r="E56" s="13"/>
      <c r="F56" s="13"/>
      <c r="G56" s="13"/>
      <c r="H56" s="13"/>
      <c r="I56" s="13"/>
      <c r="J56" s="13"/>
      <c r="K56" s="13"/>
      <c r="L56" s="13"/>
      <c r="M56" s="21"/>
      <c r="N56" s="21"/>
    </row>
    <row r="57" spans="1:14" x14ac:dyDescent="0.25">
      <c r="A57" s="71"/>
      <c r="B57" s="72" t="s">
        <v>20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</row>
    <row r="58" spans="1:14" x14ac:dyDescent="0.25">
      <c r="A58" s="71"/>
      <c r="B58" s="22"/>
      <c r="C58" s="13">
        <v>1606</v>
      </c>
      <c r="D58" s="13">
        <v>1324</v>
      </c>
      <c r="E58" s="13">
        <v>1404</v>
      </c>
      <c r="F58" s="13">
        <v>1284</v>
      </c>
      <c r="G58" s="13">
        <v>1626</v>
      </c>
      <c r="H58" s="13">
        <v>3651</v>
      </c>
      <c r="I58" s="13">
        <v>1525</v>
      </c>
      <c r="J58" s="13">
        <v>2312</v>
      </c>
      <c r="K58" s="13">
        <v>3529</v>
      </c>
      <c r="L58" s="13">
        <v>1827</v>
      </c>
      <c r="M58" s="13">
        <v>1868</v>
      </c>
      <c r="N58" s="21">
        <v>1948</v>
      </c>
    </row>
    <row r="59" spans="1:14" x14ac:dyDescent="0.25">
      <c r="A59" s="68" t="s">
        <v>18</v>
      </c>
      <c r="B59" s="69"/>
      <c r="C59" s="14">
        <f t="shared" ref="C59:N59" si="6">SUM(C53:C56,C58)</f>
        <v>56084</v>
      </c>
      <c r="D59" s="14">
        <f t="shared" si="6"/>
        <v>53216</v>
      </c>
      <c r="E59" s="14">
        <f>SUM(E53:E56,E58)</f>
        <v>53089</v>
      </c>
      <c r="F59" s="14">
        <f t="shared" si="6"/>
        <v>43953</v>
      </c>
      <c r="G59" s="14">
        <f>SUM(G53:G56,G58)</f>
        <v>41025</v>
      </c>
      <c r="H59" s="14">
        <f t="shared" si="6"/>
        <v>38605</v>
      </c>
      <c r="I59" s="14">
        <f>SUM(I53:I56,I58)</f>
        <v>35823</v>
      </c>
      <c r="J59" s="14">
        <f>SUM(J53:J56,J58)</f>
        <v>76685</v>
      </c>
      <c r="K59" s="14">
        <f t="shared" si="6"/>
        <v>105483</v>
      </c>
      <c r="L59" s="14">
        <f t="shared" si="6"/>
        <v>94647</v>
      </c>
      <c r="M59" s="14">
        <f t="shared" si="6"/>
        <v>104335</v>
      </c>
      <c r="N59" s="14">
        <f t="shared" si="6"/>
        <v>108747</v>
      </c>
    </row>
    <row r="60" spans="1:14" x14ac:dyDescent="0.25">
      <c r="A60" s="70" t="s">
        <v>34</v>
      </c>
      <c r="B60" s="72" t="s">
        <v>19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4"/>
    </row>
    <row r="61" spans="1:14" x14ac:dyDescent="0.25">
      <c r="A61" s="71"/>
      <c r="B61" s="20" t="s">
        <v>14</v>
      </c>
      <c r="C61" s="13">
        <v>0</v>
      </c>
      <c r="D61" s="13"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21"/>
    </row>
    <row r="62" spans="1:14" x14ac:dyDescent="0.25">
      <c r="A62" s="71"/>
      <c r="B62" s="20" t="s">
        <v>15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1"/>
    </row>
    <row r="63" spans="1:14" x14ac:dyDescent="0.25">
      <c r="A63" s="71"/>
      <c r="B63" s="20" t="s">
        <v>16</v>
      </c>
      <c r="C63" s="13">
        <v>0</v>
      </c>
      <c r="D63" s="13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21"/>
    </row>
    <row r="64" spans="1:14" x14ac:dyDescent="0.25">
      <c r="A64" s="71"/>
      <c r="B64" s="20" t="s">
        <v>17</v>
      </c>
      <c r="C64" s="13">
        <v>4691</v>
      </c>
      <c r="D64" s="13">
        <v>4332</v>
      </c>
      <c r="E64" s="13">
        <v>3682</v>
      </c>
      <c r="F64" s="13">
        <v>2214</v>
      </c>
      <c r="G64" s="13">
        <v>1467</v>
      </c>
      <c r="H64" s="13">
        <v>788</v>
      </c>
      <c r="I64" s="13">
        <v>818</v>
      </c>
      <c r="J64" s="13">
        <v>584</v>
      </c>
      <c r="K64" s="13">
        <v>2214</v>
      </c>
      <c r="L64" s="13">
        <v>3141</v>
      </c>
      <c r="M64" s="21">
        <v>3326</v>
      </c>
      <c r="N64" s="21">
        <v>4435</v>
      </c>
    </row>
    <row r="65" spans="1:14" x14ac:dyDescent="0.25">
      <c r="A65" s="71"/>
      <c r="B65" s="72" t="s">
        <v>20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</row>
    <row r="66" spans="1:14" x14ac:dyDescent="0.25">
      <c r="A66" s="71"/>
      <c r="B66" s="2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1"/>
    </row>
    <row r="67" spans="1:14" x14ac:dyDescent="0.25">
      <c r="A67" s="68" t="s">
        <v>18</v>
      </c>
      <c r="B67" s="69"/>
      <c r="C67" s="14">
        <f t="shared" ref="C67:N67" si="7">SUM(C61:C64,C66)</f>
        <v>4691</v>
      </c>
      <c r="D67" s="14">
        <f t="shared" si="7"/>
        <v>4332</v>
      </c>
      <c r="E67" s="14">
        <f>SUM(E61:E64,E66)</f>
        <v>3682</v>
      </c>
      <c r="F67" s="14">
        <f t="shared" si="7"/>
        <v>2214</v>
      </c>
      <c r="G67" s="14">
        <f>SUM(G61:G64,G66)</f>
        <v>1467</v>
      </c>
      <c r="H67" s="14">
        <f t="shared" si="7"/>
        <v>788</v>
      </c>
      <c r="I67" s="14">
        <f>SUM(I61:I64,I66)</f>
        <v>818</v>
      </c>
      <c r="J67" s="14">
        <f>SUM(J61:J64,J66)</f>
        <v>584</v>
      </c>
      <c r="K67" s="14">
        <f t="shared" si="7"/>
        <v>2214</v>
      </c>
      <c r="L67" s="14">
        <f t="shared" si="7"/>
        <v>3141</v>
      </c>
      <c r="M67" s="14">
        <f t="shared" si="7"/>
        <v>3326</v>
      </c>
      <c r="N67" s="14">
        <f t="shared" si="7"/>
        <v>4435</v>
      </c>
    </row>
    <row r="68" spans="1:14" x14ac:dyDescent="0.25">
      <c r="A68" s="70" t="s">
        <v>35</v>
      </c>
      <c r="B68" s="72" t="s">
        <v>19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4"/>
    </row>
    <row r="69" spans="1:14" x14ac:dyDescent="0.25">
      <c r="A69" s="71"/>
      <c r="B69" s="20" t="s">
        <v>14</v>
      </c>
      <c r="C69" s="13">
        <v>0</v>
      </c>
      <c r="D69" s="13">
        <v>0</v>
      </c>
      <c r="E69" s="13"/>
      <c r="F69" s="13"/>
      <c r="G69" s="13"/>
      <c r="H69" s="13"/>
      <c r="I69" s="13"/>
      <c r="J69" s="13"/>
      <c r="K69" s="13"/>
      <c r="L69" s="13"/>
      <c r="M69" s="13"/>
      <c r="N69" s="21"/>
    </row>
    <row r="70" spans="1:14" x14ac:dyDescent="0.25">
      <c r="A70" s="71"/>
      <c r="B70" s="20" t="s">
        <v>15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1"/>
    </row>
    <row r="71" spans="1:14" x14ac:dyDescent="0.25">
      <c r="A71" s="71"/>
      <c r="B71" s="20" t="s">
        <v>16</v>
      </c>
      <c r="C71" s="13">
        <v>0</v>
      </c>
      <c r="D71" s="13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21"/>
    </row>
    <row r="72" spans="1:14" x14ac:dyDescent="0.25">
      <c r="A72" s="71"/>
      <c r="B72" s="20" t="s">
        <v>17</v>
      </c>
      <c r="C72" s="13">
        <v>6494</v>
      </c>
      <c r="D72" s="13">
        <v>7199</v>
      </c>
      <c r="E72" s="13">
        <v>5575</v>
      </c>
      <c r="F72" s="13">
        <v>5330</v>
      </c>
      <c r="G72" s="13">
        <v>5391</v>
      </c>
      <c r="H72" s="13">
        <v>4809</v>
      </c>
      <c r="I72" s="13">
        <v>4105</v>
      </c>
      <c r="J72" s="13">
        <v>4503</v>
      </c>
      <c r="K72" s="13">
        <v>5545</v>
      </c>
      <c r="L72" s="13">
        <v>6494</v>
      </c>
      <c r="M72" s="21">
        <v>7199</v>
      </c>
      <c r="N72" s="21">
        <v>6096</v>
      </c>
    </row>
    <row r="73" spans="1:14" x14ac:dyDescent="0.25">
      <c r="A73" s="71"/>
      <c r="B73" s="72" t="s">
        <v>20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4"/>
    </row>
    <row r="74" spans="1:14" x14ac:dyDescent="0.25">
      <c r="A74" s="71"/>
      <c r="B74" s="2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1"/>
    </row>
    <row r="75" spans="1:14" x14ac:dyDescent="0.25">
      <c r="A75" s="68" t="s">
        <v>18</v>
      </c>
      <c r="B75" s="69"/>
      <c r="C75" s="14">
        <f t="shared" ref="C75:N75" si="8">SUM(C69:C72,C74)</f>
        <v>6494</v>
      </c>
      <c r="D75" s="14">
        <f t="shared" si="8"/>
        <v>7199</v>
      </c>
      <c r="E75" s="14">
        <f>SUM(E69:E72,E74)</f>
        <v>5575</v>
      </c>
      <c r="F75" s="14">
        <f t="shared" si="8"/>
        <v>5330</v>
      </c>
      <c r="G75" s="14">
        <f>SUM(G69:G72,G74)</f>
        <v>5391</v>
      </c>
      <c r="H75" s="14">
        <f t="shared" si="8"/>
        <v>4809</v>
      </c>
      <c r="I75" s="14">
        <f>SUM(I69:I72,I74)</f>
        <v>4105</v>
      </c>
      <c r="J75" s="14">
        <f>SUM(J69:J72,J74)</f>
        <v>4503</v>
      </c>
      <c r="K75" s="14">
        <f t="shared" si="8"/>
        <v>5545</v>
      </c>
      <c r="L75" s="14">
        <f t="shared" si="8"/>
        <v>6494</v>
      </c>
      <c r="M75" s="14">
        <f t="shared" si="8"/>
        <v>7199</v>
      </c>
      <c r="N75" s="14">
        <f t="shared" si="8"/>
        <v>6096</v>
      </c>
    </row>
    <row r="76" spans="1:14" x14ac:dyDescent="0.25">
      <c r="A76" s="70" t="s">
        <v>36</v>
      </c>
      <c r="B76" s="72" t="s">
        <v>19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4"/>
    </row>
    <row r="77" spans="1:14" x14ac:dyDescent="0.25">
      <c r="A77" s="71"/>
      <c r="B77" s="20" t="s">
        <v>14</v>
      </c>
      <c r="C77" s="13"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1"/>
    </row>
    <row r="78" spans="1:14" x14ac:dyDescent="0.25">
      <c r="A78" s="71"/>
      <c r="B78" s="20" t="s">
        <v>15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1"/>
    </row>
    <row r="79" spans="1:14" x14ac:dyDescent="0.25">
      <c r="A79" s="71"/>
      <c r="B79" s="20" t="s">
        <v>16</v>
      </c>
      <c r="C79" s="13"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1"/>
    </row>
    <row r="80" spans="1:14" x14ac:dyDescent="0.25">
      <c r="A80" s="71"/>
      <c r="B80" s="20" t="s">
        <v>17</v>
      </c>
      <c r="C80" s="13"/>
      <c r="D80" s="13">
        <v>305</v>
      </c>
      <c r="E80" s="13">
        <v>136</v>
      </c>
      <c r="F80" s="13">
        <v>100</v>
      </c>
      <c r="G80" s="13">
        <v>105</v>
      </c>
      <c r="H80" s="13">
        <v>202</v>
      </c>
      <c r="I80" s="13">
        <v>229</v>
      </c>
      <c r="J80" s="13">
        <v>283</v>
      </c>
      <c r="K80" s="13">
        <v>338</v>
      </c>
      <c r="L80" s="13">
        <v>413</v>
      </c>
      <c r="M80" s="21">
        <v>457</v>
      </c>
      <c r="N80" s="21">
        <v>497</v>
      </c>
    </row>
    <row r="81" spans="1:14" x14ac:dyDescent="0.25">
      <c r="A81" s="71"/>
      <c r="B81" s="72" t="s">
        <v>20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71"/>
      <c r="B82" s="2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1"/>
    </row>
    <row r="83" spans="1:14" x14ac:dyDescent="0.25">
      <c r="A83" s="68" t="s">
        <v>18</v>
      </c>
      <c r="B83" s="69"/>
      <c r="C83" s="14">
        <f t="shared" ref="C83:N83" si="9">SUM(C77:C80,C82)</f>
        <v>0</v>
      </c>
      <c r="D83" s="14">
        <f t="shared" si="9"/>
        <v>305</v>
      </c>
      <c r="E83" s="14">
        <f>SUM(E77:E80,E82)</f>
        <v>136</v>
      </c>
      <c r="F83" s="14">
        <f t="shared" si="9"/>
        <v>100</v>
      </c>
      <c r="G83" s="14">
        <f>SUM(G77:G80,G82)</f>
        <v>105</v>
      </c>
      <c r="H83" s="14">
        <f t="shared" si="9"/>
        <v>202</v>
      </c>
      <c r="I83" s="14">
        <f>SUM(I77:I80,I82)</f>
        <v>229</v>
      </c>
      <c r="J83" s="14">
        <f>SUM(J77:J80,J82)</f>
        <v>283</v>
      </c>
      <c r="K83" s="14">
        <f t="shared" si="9"/>
        <v>338</v>
      </c>
      <c r="L83" s="14">
        <f t="shared" si="9"/>
        <v>413</v>
      </c>
      <c r="M83" s="14">
        <f t="shared" si="9"/>
        <v>457</v>
      </c>
      <c r="N83" s="14">
        <f t="shared" si="9"/>
        <v>497</v>
      </c>
    </row>
    <row r="84" spans="1:14" x14ac:dyDescent="0.25">
      <c r="A84" s="70" t="s">
        <v>37</v>
      </c>
      <c r="B84" s="72" t="s">
        <v>19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71"/>
      <c r="B85" s="20" t="s">
        <v>14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1"/>
    </row>
    <row r="86" spans="1:14" x14ac:dyDescent="0.25">
      <c r="A86" s="71"/>
      <c r="B86" s="20" t="s">
        <v>15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1"/>
    </row>
    <row r="87" spans="1:14" x14ac:dyDescent="0.25">
      <c r="A87" s="71"/>
      <c r="B87" s="20" t="s">
        <v>16</v>
      </c>
      <c r="C87" s="13">
        <v>121</v>
      </c>
      <c r="D87" s="13">
        <v>311</v>
      </c>
      <c r="E87" s="13">
        <v>100</v>
      </c>
      <c r="F87" s="13">
        <v>100</v>
      </c>
      <c r="G87" s="13"/>
      <c r="H87" s="13">
        <v>112</v>
      </c>
      <c r="I87" s="13">
        <v>320</v>
      </c>
      <c r="J87" s="13">
        <v>80</v>
      </c>
      <c r="K87" s="13">
        <v>21</v>
      </c>
      <c r="L87" s="13">
        <v>218</v>
      </c>
      <c r="M87" s="13"/>
      <c r="N87" s="21">
        <v>126</v>
      </c>
    </row>
    <row r="88" spans="1:14" x14ac:dyDescent="0.25">
      <c r="A88" s="71"/>
      <c r="B88" s="20" t="s">
        <v>17</v>
      </c>
      <c r="C88" s="13">
        <v>4824</v>
      </c>
      <c r="D88" s="13">
        <v>4678</v>
      </c>
      <c r="E88" s="13">
        <v>2354</v>
      </c>
      <c r="F88" s="13">
        <v>2527</v>
      </c>
      <c r="G88" s="13">
        <v>1117</v>
      </c>
      <c r="H88" s="13">
        <v>600</v>
      </c>
      <c r="I88" s="13">
        <v>400</v>
      </c>
      <c r="J88" s="13">
        <v>485</v>
      </c>
      <c r="K88" s="13">
        <v>1013</v>
      </c>
      <c r="L88" s="13">
        <v>1420</v>
      </c>
      <c r="M88" s="21">
        <v>2009</v>
      </c>
      <c r="N88" s="21">
        <v>5804</v>
      </c>
    </row>
    <row r="89" spans="1:14" x14ac:dyDescent="0.25">
      <c r="A89" s="71"/>
      <c r="B89" s="72" t="s">
        <v>20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4"/>
    </row>
    <row r="90" spans="1:14" x14ac:dyDescent="0.25">
      <c r="A90" s="71"/>
      <c r="B90" s="2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1"/>
    </row>
    <row r="91" spans="1:14" x14ac:dyDescent="0.25">
      <c r="A91" s="68" t="s">
        <v>18</v>
      </c>
      <c r="B91" s="69"/>
      <c r="C91" s="14">
        <f t="shared" ref="C91:N91" si="10">SUM(C85:C88,C90)</f>
        <v>4945</v>
      </c>
      <c r="D91" s="14">
        <f t="shared" si="10"/>
        <v>4989</v>
      </c>
      <c r="E91" s="14">
        <f>SUM(E85:E88,E90)</f>
        <v>2454</v>
      </c>
      <c r="F91" s="14">
        <f t="shared" si="10"/>
        <v>2627</v>
      </c>
      <c r="G91" s="14">
        <f>SUM(G85:G88,G90)</f>
        <v>1117</v>
      </c>
      <c r="H91" s="14">
        <f t="shared" si="10"/>
        <v>712</v>
      </c>
      <c r="I91" s="14">
        <f>SUM(I85:I88,I90)</f>
        <v>720</v>
      </c>
      <c r="J91" s="14">
        <f>SUM(J85:J88,J90)</f>
        <v>565</v>
      </c>
      <c r="K91" s="14">
        <f t="shared" si="10"/>
        <v>1034</v>
      </c>
      <c r="L91" s="14">
        <f t="shared" si="10"/>
        <v>1638</v>
      </c>
      <c r="M91" s="14">
        <f t="shared" si="10"/>
        <v>2009</v>
      </c>
      <c r="N91" s="14">
        <f t="shared" si="10"/>
        <v>5930</v>
      </c>
    </row>
    <row r="92" spans="1:14" x14ac:dyDescent="0.25">
      <c r="A92" s="70" t="s">
        <v>39</v>
      </c>
      <c r="B92" s="72" t="s">
        <v>19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x14ac:dyDescent="0.25">
      <c r="A93" s="71"/>
      <c r="B93" s="20" t="s">
        <v>14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1">
        <v>0</v>
      </c>
    </row>
    <row r="94" spans="1:14" x14ac:dyDescent="0.25">
      <c r="A94" s="71"/>
      <c r="B94" s="20" t="s">
        <v>15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1">
        <v>0</v>
      </c>
    </row>
    <row r="95" spans="1:14" x14ac:dyDescent="0.25">
      <c r="A95" s="71"/>
      <c r="B95" s="20" t="s">
        <v>16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1">
        <v>605</v>
      </c>
    </row>
    <row r="96" spans="1:14" x14ac:dyDescent="0.25">
      <c r="A96" s="71"/>
      <c r="B96" s="20" t="s">
        <v>17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21"/>
      <c r="N96" s="21">
        <v>0</v>
      </c>
    </row>
    <row r="97" spans="1:14" x14ac:dyDescent="0.25">
      <c r="A97" s="71"/>
      <c r="B97" s="72" t="s">
        <v>20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4"/>
    </row>
    <row r="98" spans="1:14" x14ac:dyDescent="0.25">
      <c r="A98" s="71"/>
      <c r="B98" s="2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1"/>
    </row>
    <row r="99" spans="1:14" x14ac:dyDescent="0.25">
      <c r="A99" s="68" t="s">
        <v>18</v>
      </c>
      <c r="B99" s="69"/>
      <c r="C99" s="14">
        <f t="shared" ref="C99:N99" si="11">SUM(C93:C96,C98)</f>
        <v>0</v>
      </c>
      <c r="D99" s="14">
        <f t="shared" si="11"/>
        <v>0</v>
      </c>
      <c r="E99" s="14">
        <f t="shared" si="11"/>
        <v>0</v>
      </c>
      <c r="F99" s="14">
        <f t="shared" si="11"/>
        <v>0</v>
      </c>
      <c r="G99" s="14">
        <f t="shared" si="11"/>
        <v>0</v>
      </c>
      <c r="H99" s="14">
        <f t="shared" si="11"/>
        <v>0</v>
      </c>
      <c r="I99" s="14">
        <f t="shared" si="11"/>
        <v>0</v>
      </c>
      <c r="J99" s="14">
        <f t="shared" si="11"/>
        <v>0</v>
      </c>
      <c r="K99" s="14">
        <f t="shared" si="11"/>
        <v>0</v>
      </c>
      <c r="L99" s="14">
        <f t="shared" si="11"/>
        <v>0</v>
      </c>
      <c r="M99" s="14">
        <f t="shared" si="11"/>
        <v>0</v>
      </c>
      <c r="N99" s="14">
        <f t="shared" si="11"/>
        <v>605</v>
      </c>
    </row>
    <row r="100" spans="1:14" x14ac:dyDescent="0.25">
      <c r="C100" s="23"/>
      <c r="D100" s="23"/>
      <c r="E100" s="23"/>
      <c r="H100" s="23"/>
      <c r="I100" s="23"/>
    </row>
    <row r="101" spans="1:14" x14ac:dyDescent="0.25">
      <c r="C101" s="23"/>
      <c r="D101" s="23"/>
      <c r="E101" s="23"/>
      <c r="F101" s="23"/>
      <c r="G101" s="23"/>
      <c r="J101" s="25"/>
    </row>
    <row r="102" spans="1:14" x14ac:dyDescent="0.25">
      <c r="E102" s="23"/>
      <c r="G102" s="23"/>
      <c r="H102" s="23"/>
      <c r="I102" s="23"/>
      <c r="J102" s="25"/>
      <c r="K102" s="23"/>
      <c r="L102" s="23"/>
      <c r="M102" s="23"/>
    </row>
    <row r="103" spans="1:14" x14ac:dyDescent="0.25">
      <c r="G103" s="23"/>
      <c r="H103" s="23"/>
      <c r="I103" s="23"/>
      <c r="J103" s="25"/>
      <c r="K103" s="23"/>
      <c r="M103" s="26">
        <f>M91+M83+M75+M67+M59+M51+M43+M35+M27+M19+M11+M99</f>
        <v>126536539</v>
      </c>
      <c r="N103" s="26">
        <f>N91+N83+N75+N67+N59+N51+N43+N35+N27+N19+N11+N99</f>
        <v>138210695</v>
      </c>
    </row>
    <row r="104" spans="1:14" x14ac:dyDescent="0.25">
      <c r="C104" s="23"/>
      <c r="D104" s="23"/>
      <c r="E104" s="23"/>
      <c r="I104" s="23"/>
      <c r="J104" s="25"/>
      <c r="M104" s="26">
        <v>124369253</v>
      </c>
      <c r="N104" s="27">
        <v>135692871</v>
      </c>
    </row>
    <row r="105" spans="1:14" x14ac:dyDescent="0.25">
      <c r="C105" s="23"/>
      <c r="D105" s="23"/>
      <c r="E105" s="23"/>
      <c r="I105" s="23"/>
      <c r="L105" s="23"/>
      <c r="M105" s="26">
        <f>M103-M104</f>
        <v>2167286</v>
      </c>
      <c r="N105" s="26">
        <f>N103-N104</f>
        <v>2517824</v>
      </c>
    </row>
    <row r="106" spans="1:14" x14ac:dyDescent="0.25">
      <c r="C106" s="23"/>
      <c r="D106" s="23"/>
      <c r="E106" s="23"/>
      <c r="M106" s="27"/>
      <c r="N106" s="27"/>
    </row>
    <row r="107" spans="1:14" x14ac:dyDescent="0.25">
      <c r="C107" s="24"/>
      <c r="D107" s="24"/>
      <c r="E107" s="24"/>
      <c r="M107" s="26">
        <f>M105-'[3]2017 КЭСК'!$M$118</f>
        <v>0</v>
      </c>
      <c r="N107" s="27"/>
    </row>
    <row r="108" spans="1:14" x14ac:dyDescent="0.25">
      <c r="C108" s="24"/>
      <c r="D108" s="24"/>
      <c r="E108" s="24"/>
    </row>
    <row r="109" spans="1:14" x14ac:dyDescent="0.25">
      <c r="C109" s="24"/>
      <c r="D109" s="24"/>
      <c r="E109" s="24"/>
    </row>
  </sheetData>
  <mergeCells count="49">
    <mergeCell ref="A67:B67"/>
    <mergeCell ref="A68:A74"/>
    <mergeCell ref="B68:N68"/>
    <mergeCell ref="B73:N73"/>
    <mergeCell ref="A91:B91"/>
    <mergeCell ref="A84:A90"/>
    <mergeCell ref="B84:N84"/>
    <mergeCell ref="B89:N89"/>
    <mergeCell ref="A75:B75"/>
    <mergeCell ref="A76:A82"/>
    <mergeCell ref="B76:N76"/>
    <mergeCell ref="B81:N81"/>
    <mergeCell ref="A83:B83"/>
    <mergeCell ref="A52:A58"/>
    <mergeCell ref="B52:N52"/>
    <mergeCell ref="B57:N57"/>
    <mergeCell ref="A59:B59"/>
    <mergeCell ref="A60:A66"/>
    <mergeCell ref="B60:N60"/>
    <mergeCell ref="B65:N65"/>
    <mergeCell ref="A12:A18"/>
    <mergeCell ref="B12:N12"/>
    <mergeCell ref="B17:N17"/>
    <mergeCell ref="A2:N2"/>
    <mergeCell ref="A4:A10"/>
    <mergeCell ref="B4:N4"/>
    <mergeCell ref="B9:N9"/>
    <mergeCell ref="A11:B11"/>
    <mergeCell ref="A19:B19"/>
    <mergeCell ref="A20:A26"/>
    <mergeCell ref="B20:N20"/>
    <mergeCell ref="B25:N25"/>
    <mergeCell ref="A27:B27"/>
    <mergeCell ref="A92:A98"/>
    <mergeCell ref="B92:N92"/>
    <mergeCell ref="B97:N97"/>
    <mergeCell ref="A99:B99"/>
    <mergeCell ref="A28:A34"/>
    <mergeCell ref="B28:N28"/>
    <mergeCell ref="B33:N33"/>
    <mergeCell ref="A35:B35"/>
    <mergeCell ref="A36:A42"/>
    <mergeCell ref="B36:N36"/>
    <mergeCell ref="B41:N41"/>
    <mergeCell ref="A43:B43"/>
    <mergeCell ref="A44:A50"/>
    <mergeCell ref="B44:N44"/>
    <mergeCell ref="B49:N49"/>
    <mergeCell ref="A51:B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="70" zoomScaleNormal="70" workbookViewId="0">
      <pane xSplit="2" ySplit="4" topLeftCell="C5" activePane="bottomRight" state="frozen"/>
      <selection activeCell="M95" sqref="M95:O104"/>
      <selection pane="topRight" activeCell="M95" sqref="M95:O104"/>
      <selection pane="bottomLeft" activeCell="M95" sqref="M95:O104"/>
      <selection pane="bottomRight" activeCell="M95" sqref="M95:O104"/>
    </sheetView>
  </sheetViews>
  <sheetFormatPr defaultRowHeight="15" x14ac:dyDescent="0.25"/>
  <cols>
    <col min="1" max="1" width="21" customWidth="1"/>
    <col min="2" max="2" width="10.28515625" customWidth="1"/>
    <col min="3" max="3" width="17.42578125" customWidth="1"/>
    <col min="4" max="5" width="14.7109375" customWidth="1"/>
    <col min="6" max="6" width="16" customWidth="1"/>
    <col min="7" max="7" width="14.5703125" customWidth="1"/>
    <col min="8" max="8" width="16.140625" customWidth="1"/>
    <col min="9" max="9" width="16.7109375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6" max="16" width="11.42578125" bestFit="1" customWidth="1"/>
  </cols>
  <sheetData>
    <row r="1" spans="1:17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x14ac:dyDescent="0.25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42.75" x14ac:dyDescent="0.25">
      <c r="A3" s="17" t="s">
        <v>0</v>
      </c>
      <c r="B3" s="18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7" x14ac:dyDescent="0.25">
      <c r="A4" s="70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7" x14ac:dyDescent="0.25">
      <c r="A5" s="71"/>
      <c r="B5" s="20" t="s">
        <v>14</v>
      </c>
      <c r="C5" s="13">
        <v>108095797</v>
      </c>
      <c r="D5" s="13">
        <v>94424061</v>
      </c>
      <c r="E5" s="13">
        <v>103037623</v>
      </c>
      <c r="F5" s="13">
        <f>73574316+613575+15948591</f>
        <v>90136482</v>
      </c>
      <c r="G5" s="13">
        <f>71730466+15822036+516420</f>
        <v>88068922</v>
      </c>
      <c r="H5" s="13">
        <f>80824292+270426</f>
        <v>81094718</v>
      </c>
      <c r="I5" s="13">
        <v>83840569</v>
      </c>
      <c r="J5" s="13">
        <v>83237719</v>
      </c>
      <c r="K5" s="13">
        <v>79147202</v>
      </c>
      <c r="L5" s="13">
        <v>86189285</v>
      </c>
      <c r="M5" s="13">
        <v>98546555</v>
      </c>
      <c r="N5" s="13">
        <v>107972989</v>
      </c>
    </row>
    <row r="6" spans="1:17" x14ac:dyDescent="0.25">
      <c r="A6" s="71"/>
      <c r="B6" s="20" t="s">
        <v>15</v>
      </c>
      <c r="C6" s="13">
        <v>26067525</v>
      </c>
      <c r="D6" s="13">
        <v>22180274</v>
      </c>
      <c r="E6" s="13">
        <v>23221828</v>
      </c>
      <c r="F6" s="13">
        <v>20191574</v>
      </c>
      <c r="G6" s="13">
        <v>20259537</v>
      </c>
      <c r="H6" s="13">
        <v>17664760</v>
      </c>
      <c r="I6" s="13">
        <v>18863047</v>
      </c>
      <c r="J6" s="13">
        <v>18161527</v>
      </c>
      <c r="K6" s="13">
        <v>17963346</v>
      </c>
      <c r="L6" s="13">
        <v>19590170</v>
      </c>
      <c r="M6" s="13">
        <v>22988334</v>
      </c>
      <c r="N6" s="13">
        <v>24822255</v>
      </c>
    </row>
    <row r="7" spans="1:17" x14ac:dyDescent="0.25">
      <c r="A7" s="71"/>
      <c r="B7" s="20" t="s">
        <v>16</v>
      </c>
      <c r="C7" s="13">
        <v>780377</v>
      </c>
      <c r="D7" s="13">
        <v>738973</v>
      </c>
      <c r="E7" s="13">
        <v>647456</v>
      </c>
      <c r="F7" s="13">
        <f>35074+28747+523376</f>
        <v>587197</v>
      </c>
      <c r="G7" s="13">
        <f>643981+25179+17673</f>
        <v>686833</v>
      </c>
      <c r="H7" s="13">
        <f>743729+27048+23722</f>
        <v>794499</v>
      </c>
      <c r="I7" s="13">
        <v>848208</v>
      </c>
      <c r="J7" s="13">
        <v>755509</v>
      </c>
      <c r="K7" s="13">
        <v>837367</v>
      </c>
      <c r="L7" s="13">
        <v>921192</v>
      </c>
      <c r="M7" s="13">
        <v>904044</v>
      </c>
      <c r="N7" s="13">
        <v>852899</v>
      </c>
    </row>
    <row r="8" spans="1:17" x14ac:dyDescent="0.25">
      <c r="A8" s="71"/>
      <c r="B8" s="20" t="s">
        <v>17</v>
      </c>
      <c r="C8" s="13">
        <v>3781</v>
      </c>
      <c r="D8" s="13">
        <v>2650</v>
      </c>
      <c r="E8" s="13">
        <v>2123</v>
      </c>
      <c r="F8" s="13">
        <f>634+742</f>
        <v>1376</v>
      </c>
      <c r="G8" s="13">
        <f>569+777</f>
        <v>1346</v>
      </c>
      <c r="H8" s="13">
        <f>344+2</f>
        <v>346</v>
      </c>
      <c r="I8" s="13">
        <v>495</v>
      </c>
      <c r="J8" s="13">
        <v>658</v>
      </c>
      <c r="K8" s="13">
        <v>831</v>
      </c>
      <c r="L8" s="13">
        <v>1227</v>
      </c>
      <c r="M8" s="13">
        <v>1551</v>
      </c>
      <c r="N8" s="13">
        <v>2566</v>
      </c>
    </row>
    <row r="9" spans="1:17" x14ac:dyDescent="0.25">
      <c r="A9" s="71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17" x14ac:dyDescent="0.25">
      <c r="A10" s="71"/>
      <c r="B10" s="22"/>
      <c r="C10" s="13">
        <v>18017</v>
      </c>
      <c r="D10" s="13">
        <v>20029</v>
      </c>
      <c r="E10" s="13">
        <v>19098</v>
      </c>
      <c r="F10" s="13">
        <f>1050+11833+3719</f>
        <v>16602</v>
      </c>
      <c r="G10" s="13">
        <f>15338+1365</f>
        <v>16703</v>
      </c>
      <c r="H10" s="13">
        <f>13322+859</f>
        <v>14181</v>
      </c>
      <c r="I10" s="13">
        <v>13982</v>
      </c>
      <c r="J10" s="13">
        <v>14344</v>
      </c>
      <c r="K10" s="13">
        <v>15326</v>
      </c>
      <c r="L10" s="13">
        <v>16425</v>
      </c>
      <c r="M10" s="13">
        <v>16338</v>
      </c>
      <c r="N10" s="13">
        <v>16717</v>
      </c>
    </row>
    <row r="11" spans="1:17" x14ac:dyDescent="0.25">
      <c r="A11" s="68" t="s">
        <v>18</v>
      </c>
      <c r="B11" s="69"/>
      <c r="C11" s="14">
        <f t="shared" ref="C11:N11" si="0">SUM(C5:C8,C10)</f>
        <v>134965497</v>
      </c>
      <c r="D11" s="14">
        <f t="shared" si="0"/>
        <v>117365987</v>
      </c>
      <c r="E11" s="14">
        <f>SUM(E5:E8,E10)</f>
        <v>126928128</v>
      </c>
      <c r="F11" s="14">
        <f t="shared" si="0"/>
        <v>110933231</v>
      </c>
      <c r="G11" s="14">
        <f>SUM(G5:G8,G10)</f>
        <v>109033341</v>
      </c>
      <c r="H11" s="14">
        <f t="shared" si="0"/>
        <v>99568504</v>
      </c>
      <c r="I11" s="14">
        <f>SUM(I5:I8,I10)</f>
        <v>103566301</v>
      </c>
      <c r="J11" s="14">
        <f>SUM(J5:J8,J10)</f>
        <v>102169757</v>
      </c>
      <c r="K11" s="14">
        <f t="shared" si="0"/>
        <v>97964072</v>
      </c>
      <c r="L11" s="14">
        <f t="shared" si="0"/>
        <v>106718299</v>
      </c>
      <c r="M11" s="14">
        <f t="shared" si="0"/>
        <v>122456822</v>
      </c>
      <c r="N11" s="14">
        <f t="shared" si="0"/>
        <v>133667426</v>
      </c>
      <c r="P11" s="23"/>
      <c r="Q11" s="23"/>
    </row>
    <row r="12" spans="1:17" x14ac:dyDescent="0.25">
      <c r="A12" s="70" t="s">
        <v>25</v>
      </c>
      <c r="B12" s="72" t="s">
        <v>19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1:17" x14ac:dyDescent="0.25">
      <c r="A13" s="71"/>
      <c r="B13" s="20" t="s">
        <v>14</v>
      </c>
      <c r="C13" s="13">
        <v>2125445</v>
      </c>
      <c r="D13" s="13">
        <v>1840858</v>
      </c>
      <c r="E13" s="13">
        <v>1593621</v>
      </c>
      <c r="F13" s="13">
        <f>1519049+60379</f>
        <v>1579428</v>
      </c>
      <c r="G13" s="13">
        <f>1599476+51929</f>
        <v>1651405</v>
      </c>
      <c r="H13" s="13">
        <f>1244810+39145</f>
        <v>1283955</v>
      </c>
      <c r="I13" s="13">
        <v>1286377</v>
      </c>
      <c r="J13" s="13">
        <v>1262577</v>
      </c>
      <c r="K13" s="13">
        <v>1329378</v>
      </c>
      <c r="L13" s="13">
        <v>1508845</v>
      </c>
      <c r="M13" s="13">
        <v>1617277</v>
      </c>
      <c r="N13" s="13">
        <v>1931883</v>
      </c>
    </row>
    <row r="14" spans="1:17" x14ac:dyDescent="0.25">
      <c r="A14" s="71"/>
      <c r="B14" s="20" t="s">
        <v>15</v>
      </c>
      <c r="C14" s="13">
        <v>325628</v>
      </c>
      <c r="D14" s="13">
        <v>283736</v>
      </c>
      <c r="E14" s="13">
        <v>263855</v>
      </c>
      <c r="F14" s="13">
        <v>156173</v>
      </c>
      <c r="G14" s="13">
        <v>120209</v>
      </c>
      <c r="H14" s="13">
        <v>86871</v>
      </c>
      <c r="I14" s="13">
        <v>94143</v>
      </c>
      <c r="J14" s="13">
        <v>94125</v>
      </c>
      <c r="K14" s="13">
        <v>120662</v>
      </c>
      <c r="L14" s="13">
        <v>171382</v>
      </c>
      <c r="M14" s="13">
        <v>272006</v>
      </c>
      <c r="N14" s="13">
        <v>306467</v>
      </c>
    </row>
    <row r="15" spans="1:17" x14ac:dyDescent="0.25">
      <c r="A15" s="71"/>
      <c r="B15" s="20" t="s">
        <v>16</v>
      </c>
      <c r="C15" s="13">
        <v>2750520</v>
      </c>
      <c r="D15" s="13">
        <v>2513829</v>
      </c>
      <c r="E15" s="13">
        <v>2449791</v>
      </c>
      <c r="F15" s="13">
        <f>1929297+119602</f>
        <v>2048899</v>
      </c>
      <c r="G15" s="13">
        <f>1886658+98517</f>
        <v>1985175</v>
      </c>
      <c r="H15" s="13">
        <f>1556415+80689</f>
        <v>1637104</v>
      </c>
      <c r="I15" s="13">
        <v>1719624</v>
      </c>
      <c r="J15" s="13">
        <v>1793258</v>
      </c>
      <c r="K15" s="13">
        <v>1723318</v>
      </c>
      <c r="L15" s="13">
        <v>2124197</v>
      </c>
      <c r="M15" s="13">
        <v>2534967</v>
      </c>
      <c r="N15" s="13">
        <v>2958616</v>
      </c>
    </row>
    <row r="16" spans="1:17" x14ac:dyDescent="0.25">
      <c r="A16" s="71"/>
      <c r="B16" s="20" t="s">
        <v>17</v>
      </c>
      <c r="C16" s="13">
        <v>670732</v>
      </c>
      <c r="D16" s="13">
        <v>584087</v>
      </c>
      <c r="E16" s="13">
        <v>573123</v>
      </c>
      <c r="F16" s="13">
        <v>469341</v>
      </c>
      <c r="G16" s="13">
        <v>414182</v>
      </c>
      <c r="H16" s="13">
        <v>356533</v>
      </c>
      <c r="I16" s="13">
        <v>375180</v>
      </c>
      <c r="J16" s="13">
        <v>379475</v>
      </c>
      <c r="K16" s="13">
        <v>396037</v>
      </c>
      <c r="L16" s="13">
        <v>480225</v>
      </c>
      <c r="M16" s="13">
        <v>545257</v>
      </c>
      <c r="N16" s="13">
        <v>621169</v>
      </c>
    </row>
    <row r="17" spans="1:16" x14ac:dyDescent="0.25">
      <c r="A17" s="71"/>
      <c r="B17" s="72" t="s">
        <v>20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6" x14ac:dyDescent="0.25">
      <c r="A18" s="71"/>
      <c r="B18" s="22"/>
      <c r="C18" s="13">
        <v>2696200</v>
      </c>
      <c r="D18" s="13">
        <v>2493752</v>
      </c>
      <c r="E18" s="13">
        <v>2340812</v>
      </c>
      <c r="F18" s="13">
        <f>166333+383841+57507+756045+829275+18921</f>
        <v>2211922</v>
      </c>
      <c r="G18" s="13">
        <v>2454895</v>
      </c>
      <c r="H18" s="13">
        <f>1237651+47651+692270+759809+14667+162138</f>
        <v>2914186</v>
      </c>
      <c r="I18" s="13">
        <v>2781715</v>
      </c>
      <c r="J18" s="13">
        <v>2777912</v>
      </c>
      <c r="K18" s="13">
        <v>2630526</v>
      </c>
      <c r="L18" s="13">
        <v>2227583</v>
      </c>
      <c r="M18" s="13">
        <v>2200420</v>
      </c>
      <c r="N18" s="13">
        <v>2579204</v>
      </c>
    </row>
    <row r="19" spans="1:16" x14ac:dyDescent="0.25">
      <c r="A19" s="68" t="s">
        <v>18</v>
      </c>
      <c r="B19" s="69"/>
      <c r="C19" s="14">
        <f t="shared" ref="C19:N19" si="1">SUM(C13:C16,C18)</f>
        <v>8568525</v>
      </c>
      <c r="D19" s="14">
        <f t="shared" si="1"/>
        <v>7716262</v>
      </c>
      <c r="E19" s="14">
        <f>SUM(E13:E16,E18)</f>
        <v>7221202</v>
      </c>
      <c r="F19" s="14">
        <f t="shared" si="1"/>
        <v>6465763</v>
      </c>
      <c r="G19" s="14">
        <f>SUM(G13:G16,G18)</f>
        <v>6625866</v>
      </c>
      <c r="H19" s="14">
        <f t="shared" si="1"/>
        <v>6278649</v>
      </c>
      <c r="I19" s="14">
        <f>SUM(I13:I16,I18)</f>
        <v>6257039</v>
      </c>
      <c r="J19" s="14">
        <f>SUM(J13:J16,J18)</f>
        <v>6307347</v>
      </c>
      <c r="K19" s="14">
        <f t="shared" si="1"/>
        <v>6199921</v>
      </c>
      <c r="L19" s="14">
        <f t="shared" si="1"/>
        <v>6512232</v>
      </c>
      <c r="M19" s="14">
        <f t="shared" si="1"/>
        <v>7169927</v>
      </c>
      <c r="N19" s="14">
        <f t="shared" si="1"/>
        <v>8397339</v>
      </c>
    </row>
    <row r="20" spans="1:16" x14ac:dyDescent="0.25">
      <c r="A20" s="70" t="s">
        <v>26</v>
      </c>
      <c r="B20" s="72" t="s">
        <v>19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</row>
    <row r="21" spans="1:16" x14ac:dyDescent="0.25">
      <c r="A21" s="71"/>
      <c r="B21" s="20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6" x14ac:dyDescent="0.25">
      <c r="A22" s="71"/>
      <c r="B22" s="20" t="s">
        <v>15</v>
      </c>
      <c r="C22" s="13">
        <v>4757</v>
      </c>
      <c r="D22" s="13">
        <v>3482</v>
      </c>
      <c r="E22" s="13">
        <v>46672</v>
      </c>
      <c r="F22" s="13">
        <v>23873</v>
      </c>
      <c r="G22" s="13">
        <v>19194</v>
      </c>
      <c r="H22" s="13">
        <v>11276</v>
      </c>
      <c r="I22" s="13">
        <v>13714</v>
      </c>
      <c r="J22" s="13">
        <v>13571</v>
      </c>
      <c r="K22" s="13">
        <v>10960</v>
      </c>
      <c r="L22" s="13">
        <v>21201</v>
      </c>
      <c r="M22" s="13">
        <v>31578</v>
      </c>
      <c r="N22" s="13">
        <v>62995.999999999993</v>
      </c>
      <c r="P22" s="23"/>
    </row>
    <row r="23" spans="1:16" x14ac:dyDescent="0.25">
      <c r="A23" s="71"/>
      <c r="B23" s="20" t="s">
        <v>16</v>
      </c>
      <c r="C23" s="13">
        <v>52861</v>
      </c>
      <c r="D23" s="13">
        <v>43813</v>
      </c>
      <c r="E23" s="13">
        <v>35979</v>
      </c>
      <c r="F23" s="13">
        <v>51311</v>
      </c>
      <c r="G23" s="13">
        <v>39051</v>
      </c>
      <c r="H23" s="13">
        <v>21554</v>
      </c>
      <c r="I23" s="13">
        <v>23503</v>
      </c>
      <c r="J23" s="13">
        <v>24858</v>
      </c>
      <c r="K23" s="13">
        <v>31755</v>
      </c>
      <c r="L23" s="13">
        <v>48970</v>
      </c>
      <c r="M23" s="13">
        <v>50348</v>
      </c>
      <c r="N23" s="13">
        <v>55838</v>
      </c>
    </row>
    <row r="24" spans="1:16" x14ac:dyDescent="0.25">
      <c r="A24" s="71"/>
      <c r="B24" s="20" t="s">
        <v>17</v>
      </c>
      <c r="C24" s="13">
        <v>205232</v>
      </c>
      <c r="D24" s="13">
        <f>167867+5116</f>
        <v>172983</v>
      </c>
      <c r="E24" s="13">
        <v>166358</v>
      </c>
      <c r="F24" s="13">
        <f>135597+5234</f>
        <v>140831</v>
      </c>
      <c r="G24" s="13">
        <f>132890+5362</f>
        <v>138252</v>
      </c>
      <c r="H24" s="13">
        <f>119897+1892</f>
        <v>121789</v>
      </c>
      <c r="I24" s="13">
        <v>136708</v>
      </c>
      <c r="J24" s="13">
        <v>141930</v>
      </c>
      <c r="K24" s="13">
        <v>118084</v>
      </c>
      <c r="L24" s="13">
        <v>137335.99999999997</v>
      </c>
      <c r="M24" s="13">
        <v>173723</v>
      </c>
      <c r="N24" s="13">
        <v>201516</v>
      </c>
    </row>
    <row r="25" spans="1:16" x14ac:dyDescent="0.25">
      <c r="A25" s="71"/>
      <c r="B25" s="72" t="s">
        <v>20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P25" s="23"/>
    </row>
    <row r="26" spans="1:16" x14ac:dyDescent="0.25">
      <c r="A26" s="71"/>
      <c r="B26" s="22"/>
      <c r="C26" s="13">
        <v>415915</v>
      </c>
      <c r="D26" s="13">
        <f>(383492+8380)+5794</f>
        <v>397666</v>
      </c>
      <c r="E26" s="13">
        <v>382575</v>
      </c>
      <c r="F26" s="13">
        <f>5508+14629+291603+66491+6727+14148+13050</f>
        <v>412156</v>
      </c>
      <c r="G26" s="13">
        <f>362275+5871+8471</f>
        <v>376617</v>
      </c>
      <c r="H26" s="13">
        <f>402041+6515+8974</f>
        <v>417530</v>
      </c>
      <c r="I26" s="13">
        <v>380620</v>
      </c>
      <c r="J26" s="13">
        <v>418899.99999999994</v>
      </c>
      <c r="K26" s="13">
        <v>404670</v>
      </c>
      <c r="L26" s="13">
        <v>377928.00000000006</v>
      </c>
      <c r="M26" s="13">
        <v>409203</v>
      </c>
      <c r="N26" s="13">
        <v>415565</v>
      </c>
    </row>
    <row r="27" spans="1:16" x14ac:dyDescent="0.25">
      <c r="A27" s="68" t="s">
        <v>18</v>
      </c>
      <c r="B27" s="69"/>
      <c r="C27" s="14">
        <f t="shared" ref="C27:M27" si="2">SUM(C21:C24,C26)</f>
        <v>678765</v>
      </c>
      <c r="D27" s="14">
        <f t="shared" si="2"/>
        <v>617944</v>
      </c>
      <c r="E27" s="14">
        <f>SUM(E21:E24,E26)</f>
        <v>631584</v>
      </c>
      <c r="F27" s="14">
        <f t="shared" si="2"/>
        <v>628171</v>
      </c>
      <c r="G27" s="14">
        <f>SUM(G21:G24,G26)</f>
        <v>573114</v>
      </c>
      <c r="H27" s="14">
        <f t="shared" si="2"/>
        <v>572149</v>
      </c>
      <c r="I27" s="14">
        <f>SUM(I21:I24,I26)</f>
        <v>554545</v>
      </c>
      <c r="J27" s="14">
        <f>SUM(J21:J24,J26)</f>
        <v>599259</v>
      </c>
      <c r="K27" s="14">
        <f t="shared" si="2"/>
        <v>565469</v>
      </c>
      <c r="L27" s="14">
        <f t="shared" si="2"/>
        <v>585435</v>
      </c>
      <c r="M27" s="14">
        <f t="shared" si="2"/>
        <v>664852</v>
      </c>
      <c r="N27" s="14">
        <f>SUM(N21:N24,N26)</f>
        <v>735915</v>
      </c>
    </row>
    <row r="28" spans="1:16" x14ac:dyDescent="0.25">
      <c r="A28" s="70" t="s">
        <v>31</v>
      </c>
      <c r="B28" s="72" t="s">
        <v>19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1:16" x14ac:dyDescent="0.25">
      <c r="A29" s="71"/>
      <c r="B29" s="20" t="s">
        <v>14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1"/>
    </row>
    <row r="30" spans="1:16" x14ac:dyDescent="0.25">
      <c r="A30" s="71"/>
      <c r="B30" s="20" t="s">
        <v>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/>
    </row>
    <row r="31" spans="1:16" x14ac:dyDescent="0.25">
      <c r="A31" s="71"/>
      <c r="B31" s="20" t="s">
        <v>16</v>
      </c>
      <c r="C31" s="13">
        <v>335337</v>
      </c>
      <c r="D31" s="13">
        <v>286289</v>
      </c>
      <c r="E31" s="13">
        <v>273770</v>
      </c>
      <c r="F31" s="13">
        <v>211925</v>
      </c>
      <c r="G31" s="13">
        <v>185856</v>
      </c>
      <c r="H31" s="13">
        <f>128117</f>
        <v>128117</v>
      </c>
      <c r="I31" s="13">
        <v>161612</v>
      </c>
      <c r="J31" s="13">
        <v>129078</v>
      </c>
      <c r="K31" s="13">
        <v>163654</v>
      </c>
      <c r="L31" s="13">
        <v>208630</v>
      </c>
      <c r="M31" s="13">
        <v>277143</v>
      </c>
      <c r="N31" s="13">
        <v>346282</v>
      </c>
    </row>
    <row r="32" spans="1:16" x14ac:dyDescent="0.25">
      <c r="A32" s="71"/>
      <c r="B32" s="20" t="s">
        <v>17</v>
      </c>
      <c r="C32" s="13">
        <v>6502</v>
      </c>
      <c r="D32" s="13">
        <v>5588</v>
      </c>
      <c r="E32" s="13">
        <v>5805</v>
      </c>
      <c r="F32" s="13">
        <v>4748</v>
      </c>
      <c r="G32" s="13">
        <v>3817</v>
      </c>
      <c r="H32" s="13">
        <f>1954</f>
        <v>1954</v>
      </c>
      <c r="I32" s="13">
        <v>1805</v>
      </c>
      <c r="J32" s="13">
        <v>2251</v>
      </c>
      <c r="K32" s="13">
        <v>3224</v>
      </c>
      <c r="L32" s="13">
        <v>4149</v>
      </c>
      <c r="M32" s="13">
        <v>5664</v>
      </c>
      <c r="N32" s="13">
        <v>6141</v>
      </c>
    </row>
    <row r="33" spans="1:14" x14ac:dyDescent="0.25">
      <c r="A33" s="71"/>
      <c r="B33" s="72" t="s">
        <v>20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</row>
    <row r="34" spans="1:14" x14ac:dyDescent="0.25">
      <c r="A34" s="71"/>
      <c r="B34" s="22"/>
      <c r="C34" s="13">
        <v>7040</v>
      </c>
      <c r="D34" s="13">
        <v>5899</v>
      </c>
      <c r="E34" s="13">
        <v>6030</v>
      </c>
      <c r="F34" s="13">
        <v>5988</v>
      </c>
      <c r="G34" s="13">
        <v>6330</v>
      </c>
      <c r="H34" s="13">
        <f>4042</f>
        <v>4042</v>
      </c>
      <c r="I34" s="13">
        <v>3862</v>
      </c>
      <c r="J34" s="13">
        <v>4363</v>
      </c>
      <c r="K34" s="13">
        <v>5354</v>
      </c>
      <c r="L34" s="13">
        <v>4968</v>
      </c>
      <c r="M34" s="13">
        <v>5376</v>
      </c>
      <c r="N34" s="13">
        <v>7427</v>
      </c>
    </row>
    <row r="35" spans="1:14" x14ac:dyDescent="0.25">
      <c r="A35" s="68" t="s">
        <v>18</v>
      </c>
      <c r="B35" s="69"/>
      <c r="C35" s="14">
        <f t="shared" ref="C35:N35" si="3">SUM(C29:C32,C34)</f>
        <v>348879</v>
      </c>
      <c r="D35" s="14">
        <f t="shared" si="3"/>
        <v>297776</v>
      </c>
      <c r="E35" s="14">
        <f>SUM(E29:E32,E34)</f>
        <v>285605</v>
      </c>
      <c r="F35" s="14">
        <f t="shared" si="3"/>
        <v>222661</v>
      </c>
      <c r="G35" s="14">
        <f>SUM(G29:G32,G34)</f>
        <v>196003</v>
      </c>
      <c r="H35" s="14">
        <f t="shared" si="3"/>
        <v>134113</v>
      </c>
      <c r="I35" s="14">
        <f>SUM(I29:I32,I34)</f>
        <v>167279</v>
      </c>
      <c r="J35" s="14">
        <f>SUM(J29:J32,J34)</f>
        <v>135692</v>
      </c>
      <c r="K35" s="14">
        <f t="shared" si="3"/>
        <v>172232</v>
      </c>
      <c r="L35" s="14">
        <f t="shared" si="3"/>
        <v>217747</v>
      </c>
      <c r="M35" s="14">
        <f t="shared" si="3"/>
        <v>288183</v>
      </c>
      <c r="N35" s="14">
        <f t="shared" si="3"/>
        <v>359850</v>
      </c>
    </row>
    <row r="36" spans="1:14" x14ac:dyDescent="0.25">
      <c r="A36" s="70" t="s">
        <v>32</v>
      </c>
      <c r="B36" s="72" t="s">
        <v>19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1:14" x14ac:dyDescent="0.25">
      <c r="A37" s="71"/>
      <c r="B37" s="20" t="s">
        <v>14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1"/>
    </row>
    <row r="38" spans="1:14" x14ac:dyDescent="0.25">
      <c r="A38" s="71"/>
      <c r="B38" s="20" t="s">
        <v>15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1"/>
    </row>
    <row r="39" spans="1:14" x14ac:dyDescent="0.25">
      <c r="A39" s="71"/>
      <c r="B39" s="20" t="s">
        <v>16</v>
      </c>
      <c r="C39" s="13">
        <v>297553</v>
      </c>
      <c r="D39" s="13">
        <v>244132</v>
      </c>
      <c r="E39" s="13">
        <v>241939</v>
      </c>
      <c r="F39" s="13">
        <f>204627+861</f>
        <v>205488</v>
      </c>
      <c r="G39" s="13">
        <f>156322+315</f>
        <v>156637</v>
      </c>
      <c r="H39" s="13">
        <f>142967+897</f>
        <v>143864</v>
      </c>
      <c r="I39" s="13">
        <v>147859</v>
      </c>
      <c r="J39" s="13">
        <v>138136</v>
      </c>
      <c r="K39" s="13">
        <v>160447</v>
      </c>
      <c r="L39" s="13">
        <v>185047</v>
      </c>
      <c r="M39" s="13">
        <v>248335</v>
      </c>
      <c r="N39" s="13">
        <v>274441</v>
      </c>
    </row>
    <row r="40" spans="1:14" x14ac:dyDescent="0.25">
      <c r="A40" s="71"/>
      <c r="B40" s="20" t="s">
        <v>17</v>
      </c>
      <c r="C40" s="13">
        <v>33489</v>
      </c>
      <c r="D40" s="13">
        <v>32606</v>
      </c>
      <c r="E40" s="13">
        <v>26213</v>
      </c>
      <c r="F40" s="13">
        <f>29666+247</f>
        <v>29913</v>
      </c>
      <c r="G40" s="13">
        <f>21045+218</f>
        <v>21263</v>
      </c>
      <c r="H40" s="13">
        <f>17155+167</f>
        <v>17322</v>
      </c>
      <c r="I40" s="13">
        <v>14196</v>
      </c>
      <c r="J40" s="13">
        <v>15359</v>
      </c>
      <c r="K40" s="13">
        <v>18722</v>
      </c>
      <c r="L40" s="13">
        <v>21615</v>
      </c>
      <c r="M40" s="13">
        <v>28799</v>
      </c>
      <c r="N40" s="13">
        <v>29533</v>
      </c>
    </row>
    <row r="41" spans="1:14" x14ac:dyDescent="0.25">
      <c r="A41" s="71"/>
      <c r="B41" s="72" t="s">
        <v>20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</row>
    <row r="42" spans="1:14" x14ac:dyDescent="0.25">
      <c r="A42" s="71"/>
      <c r="B42" s="22"/>
      <c r="C42" s="13">
        <v>200</v>
      </c>
      <c r="D42" s="13">
        <v>200</v>
      </c>
      <c r="E42" s="13">
        <v>200</v>
      </c>
      <c r="F42" s="13">
        <v>200</v>
      </c>
      <c r="G42" s="13">
        <v>200</v>
      </c>
      <c r="H42" s="13">
        <v>200</v>
      </c>
      <c r="I42" s="13">
        <v>200</v>
      </c>
      <c r="J42" s="13">
        <v>100</v>
      </c>
      <c r="K42" s="13">
        <v>100</v>
      </c>
      <c r="L42" s="13">
        <v>100</v>
      </c>
      <c r="M42" s="13">
        <v>100</v>
      </c>
      <c r="N42" s="13">
        <v>100</v>
      </c>
    </row>
    <row r="43" spans="1:14" x14ac:dyDescent="0.25">
      <c r="A43" s="68" t="s">
        <v>18</v>
      </c>
      <c r="B43" s="69"/>
      <c r="C43" s="14">
        <f t="shared" ref="C43:N43" si="4">SUM(C37:C40,C42)</f>
        <v>331242</v>
      </c>
      <c r="D43" s="14">
        <f t="shared" si="4"/>
        <v>276938</v>
      </c>
      <c r="E43" s="14">
        <f>SUM(E37:E40,E42)</f>
        <v>268352</v>
      </c>
      <c r="F43" s="14">
        <f t="shared" si="4"/>
        <v>235601</v>
      </c>
      <c r="G43" s="14">
        <f>SUM(G37:G40,G42)</f>
        <v>178100</v>
      </c>
      <c r="H43" s="14">
        <f t="shared" si="4"/>
        <v>161386</v>
      </c>
      <c r="I43" s="14">
        <f>SUM(I37:I40,I42)</f>
        <v>162255</v>
      </c>
      <c r="J43" s="14">
        <f>SUM(J37:J40,J42)</f>
        <v>153595</v>
      </c>
      <c r="K43" s="14">
        <f t="shared" si="4"/>
        <v>179269</v>
      </c>
      <c r="L43" s="14">
        <f t="shared" si="4"/>
        <v>206762</v>
      </c>
      <c r="M43" s="14">
        <f t="shared" si="4"/>
        <v>277234</v>
      </c>
      <c r="N43" s="14">
        <f t="shared" si="4"/>
        <v>304074</v>
      </c>
    </row>
    <row r="44" spans="1:14" x14ac:dyDescent="0.25">
      <c r="A44" s="70" t="s">
        <v>33</v>
      </c>
      <c r="B44" s="72" t="s">
        <v>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14" x14ac:dyDescent="0.25">
      <c r="A45" s="71"/>
      <c r="B45" s="20" t="s">
        <v>14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1"/>
    </row>
    <row r="46" spans="1:14" x14ac:dyDescent="0.25">
      <c r="A46" s="71"/>
      <c r="B46" s="20" t="s">
        <v>15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1"/>
    </row>
    <row r="47" spans="1:14" x14ac:dyDescent="0.25">
      <c r="A47" s="71"/>
      <c r="B47" s="20" t="s">
        <v>16</v>
      </c>
      <c r="C47" s="13">
        <v>117130</v>
      </c>
      <c r="D47" s="13">
        <v>83832</v>
      </c>
      <c r="E47" s="13">
        <v>49430</v>
      </c>
      <c r="F47" s="13">
        <v>51095</v>
      </c>
      <c r="G47" s="13">
        <v>39659</v>
      </c>
      <c r="H47" s="13">
        <v>27017</v>
      </c>
      <c r="I47" s="13">
        <v>33089</v>
      </c>
      <c r="J47" s="13">
        <v>28785</v>
      </c>
      <c r="K47" s="13">
        <v>32410</v>
      </c>
      <c r="L47" s="13">
        <v>33163</v>
      </c>
      <c r="M47" s="13">
        <v>40183</v>
      </c>
      <c r="N47" s="13">
        <v>42186</v>
      </c>
    </row>
    <row r="48" spans="1:14" x14ac:dyDescent="0.25">
      <c r="A48" s="71"/>
      <c r="B48" s="20" t="s">
        <v>17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21"/>
      <c r="N48" s="21"/>
    </row>
    <row r="49" spans="1:14" x14ac:dyDescent="0.25">
      <c r="A49" s="71"/>
      <c r="B49" s="72" t="s">
        <v>20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</row>
    <row r="50" spans="1:14" x14ac:dyDescent="0.25">
      <c r="A50" s="71"/>
      <c r="B50" s="22"/>
      <c r="C50" s="13">
        <v>2595</v>
      </c>
      <c r="D50" s="13">
        <v>1929</v>
      </c>
      <c r="E50" s="13">
        <v>1606</v>
      </c>
      <c r="F50" s="13">
        <v>1566</v>
      </c>
      <c r="G50" s="13">
        <v>1827</v>
      </c>
      <c r="H50" s="13">
        <v>2879</v>
      </c>
      <c r="I50" s="13">
        <v>1344</v>
      </c>
      <c r="J50" s="13">
        <v>1505</v>
      </c>
      <c r="K50" s="13">
        <v>1707</v>
      </c>
      <c r="L50" s="13">
        <v>1787</v>
      </c>
      <c r="M50" s="13">
        <v>2090</v>
      </c>
      <c r="N50" s="13">
        <v>1928</v>
      </c>
    </row>
    <row r="51" spans="1:14" x14ac:dyDescent="0.25">
      <c r="A51" s="68" t="s">
        <v>18</v>
      </c>
      <c r="B51" s="69"/>
      <c r="C51" s="14">
        <f t="shared" ref="C51:N51" si="5">SUM(C45:C48,C50)</f>
        <v>119725</v>
      </c>
      <c r="D51" s="14">
        <f t="shared" si="5"/>
        <v>85761</v>
      </c>
      <c r="E51" s="14">
        <f>SUM(E45:E48,E50)</f>
        <v>51036</v>
      </c>
      <c r="F51" s="14">
        <f t="shared" si="5"/>
        <v>52661</v>
      </c>
      <c r="G51" s="14">
        <f>SUM(G45:G48,G50)</f>
        <v>41486</v>
      </c>
      <c r="H51" s="14">
        <f t="shared" si="5"/>
        <v>29896</v>
      </c>
      <c r="I51" s="14">
        <f>SUM(I45:I48,I50)</f>
        <v>34433</v>
      </c>
      <c r="J51" s="14">
        <f>SUM(J45:J48,J50)</f>
        <v>30290</v>
      </c>
      <c r="K51" s="14">
        <f t="shared" si="5"/>
        <v>34117</v>
      </c>
      <c r="L51" s="14">
        <f t="shared" si="5"/>
        <v>34950</v>
      </c>
      <c r="M51" s="14">
        <f t="shared" si="5"/>
        <v>42273</v>
      </c>
      <c r="N51" s="14">
        <f t="shared" si="5"/>
        <v>44114</v>
      </c>
    </row>
    <row r="52" spans="1:14" x14ac:dyDescent="0.25">
      <c r="A52" s="70" t="s">
        <v>34</v>
      </c>
      <c r="B52" s="72" t="s">
        <v>19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</row>
    <row r="53" spans="1:14" x14ac:dyDescent="0.25">
      <c r="A53" s="71"/>
      <c r="B53" s="20" t="s">
        <v>14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1"/>
    </row>
    <row r="54" spans="1:14" x14ac:dyDescent="0.25">
      <c r="A54" s="71"/>
      <c r="B54" s="20" t="s">
        <v>15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1"/>
    </row>
    <row r="55" spans="1:14" x14ac:dyDescent="0.25">
      <c r="A55" s="71"/>
      <c r="B55" s="20" t="s">
        <v>16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1"/>
    </row>
    <row r="56" spans="1:14" x14ac:dyDescent="0.25">
      <c r="A56" s="71"/>
      <c r="B56" s="20" t="s">
        <v>17</v>
      </c>
      <c r="C56" s="13">
        <v>5141</v>
      </c>
      <c r="D56" s="13">
        <v>4389</v>
      </c>
      <c r="E56" s="13">
        <v>4147</v>
      </c>
      <c r="F56" s="13">
        <v>2036</v>
      </c>
      <c r="G56" s="13">
        <v>1916</v>
      </c>
      <c r="H56" s="13">
        <v>384</v>
      </c>
      <c r="I56" s="13">
        <v>240</v>
      </c>
      <c r="J56" s="13">
        <v>437</v>
      </c>
      <c r="K56" s="13">
        <v>1720</v>
      </c>
      <c r="L56" s="13">
        <v>2826</v>
      </c>
      <c r="M56" s="13">
        <v>3929</v>
      </c>
      <c r="N56" s="13">
        <v>5088</v>
      </c>
    </row>
    <row r="57" spans="1:14" x14ac:dyDescent="0.25">
      <c r="A57" s="71"/>
      <c r="B57" s="72" t="s">
        <v>20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</row>
    <row r="58" spans="1:14" x14ac:dyDescent="0.25">
      <c r="A58" s="71"/>
      <c r="B58" s="2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1"/>
    </row>
    <row r="59" spans="1:14" x14ac:dyDescent="0.25">
      <c r="A59" s="68" t="s">
        <v>18</v>
      </c>
      <c r="B59" s="69"/>
      <c r="C59" s="14">
        <f t="shared" ref="C59:N59" si="6">SUM(C53:C56,C58)</f>
        <v>5141</v>
      </c>
      <c r="D59" s="14">
        <f t="shared" si="6"/>
        <v>4389</v>
      </c>
      <c r="E59" s="14">
        <f>SUM(E53:E56,E58)</f>
        <v>4147</v>
      </c>
      <c r="F59" s="14">
        <f t="shared" si="6"/>
        <v>2036</v>
      </c>
      <c r="G59" s="14">
        <f>SUM(G53:G56,G58)</f>
        <v>1916</v>
      </c>
      <c r="H59" s="14">
        <f t="shared" si="6"/>
        <v>384</v>
      </c>
      <c r="I59" s="14">
        <f>SUM(I53:I56,I58)</f>
        <v>240</v>
      </c>
      <c r="J59" s="14">
        <f>SUM(J53:J56,J58)</f>
        <v>437</v>
      </c>
      <c r="K59" s="14">
        <f t="shared" si="6"/>
        <v>1720</v>
      </c>
      <c r="L59" s="14">
        <f t="shared" si="6"/>
        <v>2826</v>
      </c>
      <c r="M59" s="14">
        <f t="shared" si="6"/>
        <v>3929</v>
      </c>
      <c r="N59" s="14">
        <f t="shared" si="6"/>
        <v>5088</v>
      </c>
    </row>
    <row r="60" spans="1:14" x14ac:dyDescent="0.25">
      <c r="A60" s="70" t="s">
        <v>35</v>
      </c>
      <c r="B60" s="72" t="s">
        <v>19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4"/>
    </row>
    <row r="61" spans="1:14" x14ac:dyDescent="0.25">
      <c r="A61" s="71"/>
      <c r="B61" s="20" t="s">
        <v>14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1"/>
    </row>
    <row r="62" spans="1:14" x14ac:dyDescent="0.25">
      <c r="A62" s="71"/>
      <c r="B62" s="20" t="s">
        <v>15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1"/>
    </row>
    <row r="63" spans="1:14" x14ac:dyDescent="0.25">
      <c r="A63" s="71"/>
      <c r="B63" s="20" t="s">
        <v>16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1"/>
    </row>
    <row r="64" spans="1:14" x14ac:dyDescent="0.25">
      <c r="A64" s="71"/>
      <c r="B64" s="20" t="s">
        <v>17</v>
      </c>
      <c r="C64" s="13">
        <v>5483</v>
      </c>
      <c r="D64" s="13">
        <v>5973</v>
      </c>
      <c r="E64" s="13">
        <v>5545</v>
      </c>
      <c r="F64" s="13">
        <v>4932</v>
      </c>
      <c r="G64" s="13">
        <v>5728</v>
      </c>
      <c r="H64" s="13">
        <v>3247</v>
      </c>
      <c r="I64" s="13">
        <v>2910</v>
      </c>
      <c r="J64" s="13">
        <v>4534</v>
      </c>
      <c r="K64" s="13">
        <v>3921</v>
      </c>
      <c r="L64" s="13">
        <v>6586</v>
      </c>
      <c r="M64" s="13">
        <v>6831</v>
      </c>
      <c r="N64" s="13">
        <v>8302</v>
      </c>
    </row>
    <row r="65" spans="1:14" x14ac:dyDescent="0.25">
      <c r="A65" s="71"/>
      <c r="B65" s="72" t="s">
        <v>20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</row>
    <row r="66" spans="1:14" x14ac:dyDescent="0.25">
      <c r="A66" s="71"/>
      <c r="B66" s="2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1"/>
    </row>
    <row r="67" spans="1:14" x14ac:dyDescent="0.25">
      <c r="A67" s="68" t="s">
        <v>18</v>
      </c>
      <c r="B67" s="69"/>
      <c r="C67" s="14">
        <f t="shared" ref="C67:N67" si="7">SUM(C61:C64,C66)</f>
        <v>5483</v>
      </c>
      <c r="D67" s="14">
        <f t="shared" si="7"/>
        <v>5973</v>
      </c>
      <c r="E67" s="14">
        <f>SUM(E61:E64,E66)</f>
        <v>5545</v>
      </c>
      <c r="F67" s="14">
        <f t="shared" si="7"/>
        <v>4932</v>
      </c>
      <c r="G67" s="14">
        <f>SUM(G61:G64,G66)</f>
        <v>5728</v>
      </c>
      <c r="H67" s="14">
        <f t="shared" si="7"/>
        <v>3247</v>
      </c>
      <c r="I67" s="14">
        <f>SUM(I61:I64,I66)</f>
        <v>2910</v>
      </c>
      <c r="J67" s="14">
        <f>SUM(J61:J64,J66)</f>
        <v>4534</v>
      </c>
      <c r="K67" s="14">
        <f t="shared" si="7"/>
        <v>3921</v>
      </c>
      <c r="L67" s="14">
        <f t="shared" si="7"/>
        <v>6586</v>
      </c>
      <c r="M67" s="14">
        <f t="shared" si="7"/>
        <v>6831</v>
      </c>
      <c r="N67" s="14">
        <f t="shared" si="7"/>
        <v>8302</v>
      </c>
    </row>
    <row r="68" spans="1:14" x14ac:dyDescent="0.25">
      <c r="A68" s="70" t="s">
        <v>36</v>
      </c>
      <c r="B68" s="72" t="s">
        <v>19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4"/>
    </row>
    <row r="69" spans="1:14" x14ac:dyDescent="0.25">
      <c r="A69" s="71"/>
      <c r="B69" s="20" t="s">
        <v>14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1"/>
    </row>
    <row r="70" spans="1:14" x14ac:dyDescent="0.25">
      <c r="A70" s="71"/>
      <c r="B70" s="20" t="s">
        <v>15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1"/>
    </row>
    <row r="71" spans="1:14" x14ac:dyDescent="0.25">
      <c r="A71" s="71"/>
      <c r="B71" s="20" t="s">
        <v>16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1"/>
    </row>
    <row r="72" spans="1:14" x14ac:dyDescent="0.25">
      <c r="A72" s="71"/>
      <c r="B72" s="20" t="s">
        <v>17</v>
      </c>
      <c r="C72" s="13">
        <v>494</v>
      </c>
      <c r="D72" s="13">
        <v>370</v>
      </c>
      <c r="E72" s="13">
        <v>136</v>
      </c>
      <c r="F72" s="13">
        <v>100</v>
      </c>
      <c r="G72" s="13">
        <v>211</v>
      </c>
      <c r="H72" s="13">
        <v>174</v>
      </c>
      <c r="I72" s="13">
        <v>198</v>
      </c>
      <c r="J72" s="13">
        <v>250</v>
      </c>
      <c r="K72" s="13">
        <v>322</v>
      </c>
      <c r="L72" s="13">
        <v>389</v>
      </c>
      <c r="M72" s="13">
        <v>438</v>
      </c>
      <c r="N72" s="13">
        <v>465</v>
      </c>
    </row>
    <row r="73" spans="1:14" x14ac:dyDescent="0.25">
      <c r="A73" s="71"/>
      <c r="B73" s="72" t="s">
        <v>20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4"/>
    </row>
    <row r="74" spans="1:14" x14ac:dyDescent="0.25">
      <c r="A74" s="71"/>
      <c r="B74" s="2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1"/>
    </row>
    <row r="75" spans="1:14" x14ac:dyDescent="0.25">
      <c r="A75" s="68" t="s">
        <v>18</v>
      </c>
      <c r="B75" s="69"/>
      <c r="C75" s="14">
        <f t="shared" ref="C75:N75" si="8">SUM(C69:C72,C74)</f>
        <v>494</v>
      </c>
      <c r="D75" s="14">
        <f t="shared" si="8"/>
        <v>370</v>
      </c>
      <c r="E75" s="14">
        <f>SUM(E69:E72,E74)</f>
        <v>136</v>
      </c>
      <c r="F75" s="14">
        <f t="shared" si="8"/>
        <v>100</v>
      </c>
      <c r="G75" s="14">
        <f>SUM(G69:G72,G74)</f>
        <v>211</v>
      </c>
      <c r="H75" s="14">
        <f t="shared" si="8"/>
        <v>174</v>
      </c>
      <c r="I75" s="14">
        <f>SUM(I69:I72,I74)</f>
        <v>198</v>
      </c>
      <c r="J75" s="14">
        <f>SUM(J69:J72,J74)</f>
        <v>250</v>
      </c>
      <c r="K75" s="14">
        <f t="shared" si="8"/>
        <v>322</v>
      </c>
      <c r="L75" s="14">
        <f t="shared" si="8"/>
        <v>389</v>
      </c>
      <c r="M75" s="14">
        <f t="shared" si="8"/>
        <v>438</v>
      </c>
      <c r="N75" s="14">
        <f t="shared" si="8"/>
        <v>465</v>
      </c>
    </row>
    <row r="76" spans="1:14" x14ac:dyDescent="0.25">
      <c r="A76" s="70" t="s">
        <v>37</v>
      </c>
      <c r="B76" s="72" t="s">
        <v>19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4"/>
    </row>
    <row r="77" spans="1:14" x14ac:dyDescent="0.25">
      <c r="A77" s="71"/>
      <c r="B77" s="20" t="s">
        <v>14</v>
      </c>
      <c r="C77" s="13"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1"/>
    </row>
    <row r="78" spans="1:14" x14ac:dyDescent="0.25">
      <c r="A78" s="71"/>
      <c r="B78" s="20" t="s">
        <v>15</v>
      </c>
      <c r="C78" s="13">
        <v>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1"/>
    </row>
    <row r="79" spans="1:14" x14ac:dyDescent="0.25">
      <c r="A79" s="71"/>
      <c r="B79" s="20" t="s">
        <v>16</v>
      </c>
      <c r="C79" s="13">
        <v>43</v>
      </c>
      <c r="D79" s="13">
        <v>64</v>
      </c>
      <c r="E79" s="13">
        <v>50</v>
      </c>
      <c r="F79" s="13"/>
      <c r="G79" s="13">
        <v>136</v>
      </c>
      <c r="H79" s="13">
        <v>102</v>
      </c>
      <c r="I79" s="13">
        <v>102</v>
      </c>
      <c r="J79" s="13">
        <v>106</v>
      </c>
      <c r="K79" s="13">
        <v>106</v>
      </c>
      <c r="L79" s="13">
        <v>106</v>
      </c>
      <c r="M79" s="13">
        <v>256</v>
      </c>
      <c r="N79" s="13">
        <v>197</v>
      </c>
    </row>
    <row r="80" spans="1:14" x14ac:dyDescent="0.25">
      <c r="A80" s="71"/>
      <c r="B80" s="20" t="s">
        <v>17</v>
      </c>
      <c r="C80" s="13">
        <v>4815</v>
      </c>
      <c r="D80" s="13">
        <v>3707</v>
      </c>
      <c r="E80" s="13">
        <v>3595</v>
      </c>
      <c r="F80" s="13">
        <v>1856</v>
      </c>
      <c r="G80" s="13">
        <v>2229</v>
      </c>
      <c r="H80" s="13">
        <f>174+290</f>
        <v>464</v>
      </c>
      <c r="I80" s="13">
        <v>435</v>
      </c>
      <c r="J80" s="13">
        <v>530</v>
      </c>
      <c r="K80" s="13">
        <v>1530</v>
      </c>
      <c r="L80" s="13">
        <v>2129</v>
      </c>
      <c r="M80" s="13">
        <v>3423</v>
      </c>
      <c r="N80" s="13">
        <v>4957</v>
      </c>
    </row>
    <row r="81" spans="1:14" x14ac:dyDescent="0.25">
      <c r="A81" s="71"/>
      <c r="B81" s="72" t="s">
        <v>20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71"/>
      <c r="B82" s="2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1"/>
    </row>
    <row r="83" spans="1:14" x14ac:dyDescent="0.25">
      <c r="A83" s="68" t="s">
        <v>18</v>
      </c>
      <c r="B83" s="69"/>
      <c r="C83" s="14">
        <f t="shared" ref="C83:N83" si="9">SUM(C77:C80,C82)</f>
        <v>4858</v>
      </c>
      <c r="D83" s="14">
        <f t="shared" si="9"/>
        <v>3771</v>
      </c>
      <c r="E83" s="14">
        <f>SUM(E77:E80,E82)</f>
        <v>3645</v>
      </c>
      <c r="F83" s="14">
        <f t="shared" si="9"/>
        <v>1856</v>
      </c>
      <c r="G83" s="14">
        <f>SUM(G77:G80,G82)</f>
        <v>2365</v>
      </c>
      <c r="H83" s="14">
        <f t="shared" si="9"/>
        <v>566</v>
      </c>
      <c r="I83" s="14">
        <f>SUM(I77:I80,I82)</f>
        <v>537</v>
      </c>
      <c r="J83" s="14">
        <f>SUM(J77:J80,J82)</f>
        <v>636</v>
      </c>
      <c r="K83" s="14">
        <f t="shared" si="9"/>
        <v>1636</v>
      </c>
      <c r="L83" s="14">
        <f t="shared" si="9"/>
        <v>2235</v>
      </c>
      <c r="M83" s="14">
        <f t="shared" si="9"/>
        <v>3679</v>
      </c>
      <c r="N83" s="14">
        <f t="shared" si="9"/>
        <v>5154</v>
      </c>
    </row>
    <row r="84" spans="1:14" x14ac:dyDescent="0.25">
      <c r="A84" s="70" t="s">
        <v>39</v>
      </c>
      <c r="B84" s="72" t="s">
        <v>19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71"/>
      <c r="B85" s="20" t="s">
        <v>14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1"/>
    </row>
    <row r="86" spans="1:14" x14ac:dyDescent="0.25">
      <c r="A86" s="71"/>
      <c r="B86" s="20" t="s">
        <v>15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1"/>
    </row>
    <row r="87" spans="1:14" x14ac:dyDescent="0.25">
      <c r="A87" s="71"/>
      <c r="B87" s="20" t="s">
        <v>16</v>
      </c>
      <c r="C87" s="13">
        <v>594</v>
      </c>
      <c r="D87" s="13">
        <v>322</v>
      </c>
      <c r="E87" s="13">
        <v>166</v>
      </c>
      <c r="F87" s="13">
        <v>106</v>
      </c>
      <c r="G87" s="13"/>
      <c r="H87" s="13"/>
      <c r="I87" s="13"/>
      <c r="J87" s="13"/>
      <c r="K87" s="13"/>
      <c r="L87" s="13"/>
      <c r="M87" s="13"/>
      <c r="N87" s="21"/>
    </row>
    <row r="88" spans="1:14" x14ac:dyDescent="0.25">
      <c r="A88" s="71"/>
      <c r="B88" s="20" t="s">
        <v>17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21"/>
      <c r="N88" s="21"/>
    </row>
    <row r="89" spans="1:14" x14ac:dyDescent="0.25">
      <c r="A89" s="71"/>
      <c r="B89" s="72" t="s">
        <v>20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4"/>
    </row>
    <row r="90" spans="1:14" x14ac:dyDescent="0.25">
      <c r="A90" s="71"/>
      <c r="B90" s="2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1"/>
    </row>
    <row r="91" spans="1:14" x14ac:dyDescent="0.25">
      <c r="A91" s="68" t="s">
        <v>18</v>
      </c>
      <c r="B91" s="69"/>
      <c r="C91" s="14">
        <f t="shared" ref="C91:N91" si="10">SUM(C85:C88,C90)</f>
        <v>594</v>
      </c>
      <c r="D91" s="14">
        <f t="shared" si="10"/>
        <v>322</v>
      </c>
      <c r="E91" s="14">
        <f t="shared" si="10"/>
        <v>166</v>
      </c>
      <c r="F91" s="14">
        <f t="shared" si="10"/>
        <v>106</v>
      </c>
      <c r="G91" s="14">
        <f t="shared" si="10"/>
        <v>0</v>
      </c>
      <c r="H91" s="14">
        <f t="shared" si="10"/>
        <v>0</v>
      </c>
      <c r="I91" s="14">
        <f t="shared" si="10"/>
        <v>0</v>
      </c>
      <c r="J91" s="14">
        <f t="shared" si="10"/>
        <v>0</v>
      </c>
      <c r="K91" s="14">
        <f t="shared" si="10"/>
        <v>0</v>
      </c>
      <c r="L91" s="14">
        <f t="shared" si="10"/>
        <v>0</v>
      </c>
      <c r="M91" s="14">
        <f t="shared" si="10"/>
        <v>0</v>
      </c>
      <c r="N91" s="14">
        <f t="shared" si="10"/>
        <v>0</v>
      </c>
    </row>
    <row r="92" spans="1:14" x14ac:dyDescent="0.25">
      <c r="C92" s="23"/>
      <c r="D92" s="23"/>
      <c r="E92" s="23"/>
      <c r="H92" s="23"/>
      <c r="I92" s="23"/>
    </row>
    <row r="93" spans="1:14" x14ac:dyDescent="0.25">
      <c r="C93" s="23"/>
      <c r="D93" s="23"/>
      <c r="E93" s="23"/>
      <c r="F93" s="23"/>
      <c r="G93" s="23"/>
      <c r="J93" s="25"/>
    </row>
    <row r="94" spans="1:14" x14ac:dyDescent="0.25">
      <c r="E94" s="23"/>
      <c r="G94" s="23"/>
      <c r="H94" s="23"/>
      <c r="I94" s="23"/>
      <c r="J94" s="25"/>
      <c r="K94" s="23"/>
      <c r="L94" s="23"/>
      <c r="M94" s="23"/>
    </row>
    <row r="95" spans="1:14" x14ac:dyDescent="0.25">
      <c r="G95" s="23"/>
      <c r="H95" s="23"/>
      <c r="I95" s="23"/>
      <c r="J95" s="25"/>
      <c r="K95" s="23"/>
      <c r="M95" s="26"/>
      <c r="N95" s="26"/>
    </row>
    <row r="96" spans="1:14" x14ac:dyDescent="0.25">
      <c r="C96" s="23"/>
      <c r="D96" s="23"/>
      <c r="E96" s="23"/>
      <c r="I96" s="23"/>
      <c r="J96" s="25"/>
      <c r="M96" s="26"/>
      <c r="N96" s="27"/>
    </row>
    <row r="97" spans="3:14" x14ac:dyDescent="0.25">
      <c r="C97" s="23"/>
      <c r="D97" s="23"/>
      <c r="E97" s="23"/>
      <c r="I97" s="23"/>
      <c r="L97" s="23"/>
      <c r="M97" s="26"/>
      <c r="N97" s="26"/>
    </row>
    <row r="98" spans="3:14" x14ac:dyDescent="0.25">
      <c r="C98" s="28"/>
      <c r="D98" s="29"/>
      <c r="E98" s="29"/>
      <c r="M98" s="27"/>
      <c r="N98" s="27"/>
    </row>
    <row r="99" spans="3:14" x14ac:dyDescent="0.25">
      <c r="C99" s="29"/>
      <c r="D99" s="29"/>
      <c r="E99" s="29"/>
      <c r="M99" s="26"/>
      <c r="N99" s="27"/>
    </row>
    <row r="100" spans="3:14" x14ac:dyDescent="0.25">
      <c r="C100" s="29"/>
      <c r="D100" s="29"/>
      <c r="E100" s="29"/>
    </row>
    <row r="101" spans="3:14" x14ac:dyDescent="0.25">
      <c r="C101" s="24"/>
      <c r="D101" s="24"/>
      <c r="E101" s="24"/>
    </row>
  </sheetData>
  <mergeCells count="45">
    <mergeCell ref="A91:B91"/>
    <mergeCell ref="A75:B75"/>
    <mergeCell ref="A76:A82"/>
    <mergeCell ref="B76:N76"/>
    <mergeCell ref="B81:N81"/>
    <mergeCell ref="A83:B83"/>
    <mergeCell ref="A84:A90"/>
    <mergeCell ref="B84:N84"/>
    <mergeCell ref="B89:N89"/>
    <mergeCell ref="A68:A74"/>
    <mergeCell ref="B68:N68"/>
    <mergeCell ref="B73:N73"/>
    <mergeCell ref="A43:B43"/>
    <mergeCell ref="A44:A50"/>
    <mergeCell ref="B44:N44"/>
    <mergeCell ref="B49:N49"/>
    <mergeCell ref="A51:B51"/>
    <mergeCell ref="A52:A58"/>
    <mergeCell ref="B52:N52"/>
    <mergeCell ref="B57:N57"/>
    <mergeCell ref="A59:B59"/>
    <mergeCell ref="A60:A66"/>
    <mergeCell ref="B60:N60"/>
    <mergeCell ref="B65:N65"/>
    <mergeCell ref="A67:B67"/>
    <mergeCell ref="A36:A42"/>
    <mergeCell ref="B36:N36"/>
    <mergeCell ref="B41:N41"/>
    <mergeCell ref="A19:B19"/>
    <mergeCell ref="A20:A26"/>
    <mergeCell ref="B20:N20"/>
    <mergeCell ref="B25:N25"/>
    <mergeCell ref="A27:B27"/>
    <mergeCell ref="A28:A34"/>
    <mergeCell ref="B28:N28"/>
    <mergeCell ref="B33:N33"/>
    <mergeCell ref="A35:B35"/>
    <mergeCell ref="A12:A18"/>
    <mergeCell ref="B12:N12"/>
    <mergeCell ref="B17:N17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="75" zoomScaleNormal="75" workbookViewId="0">
      <pane xSplit="2" ySplit="4" topLeftCell="C50" activePane="bottomRight" state="frozen"/>
      <selection activeCell="M95" sqref="M95:O104"/>
      <selection pane="topRight" activeCell="M95" sqref="M95:O104"/>
      <selection pane="bottomLeft" activeCell="M95" sqref="M95:O104"/>
      <selection pane="bottomRight" activeCell="M95" sqref="M95:O104"/>
    </sheetView>
  </sheetViews>
  <sheetFormatPr defaultRowHeight="15" x14ac:dyDescent="0.25"/>
  <cols>
    <col min="1" max="1" width="21" customWidth="1"/>
    <col min="2" max="2" width="10.28515625" customWidth="1"/>
    <col min="3" max="3" width="17.42578125" customWidth="1"/>
    <col min="4" max="5" width="14.7109375" customWidth="1"/>
    <col min="6" max="6" width="16" customWidth="1"/>
    <col min="7" max="7" width="14.5703125" customWidth="1"/>
    <col min="8" max="8" width="16.140625" customWidth="1"/>
    <col min="9" max="9" width="16.7109375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5" max="15" width="9.140625" style="27"/>
    <col min="16" max="16" width="11.42578125" bestFit="1" customWidth="1"/>
    <col min="17" max="17" width="11.140625" style="27" bestFit="1" customWidth="1"/>
  </cols>
  <sheetData>
    <row r="1" spans="1:17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x14ac:dyDescent="0.25">
      <c r="A2" s="75" t="s">
        <v>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42.75" x14ac:dyDescent="0.25">
      <c r="A3" s="17" t="s">
        <v>0</v>
      </c>
      <c r="B3" s="18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7" x14ac:dyDescent="0.25">
      <c r="A4" s="70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7" x14ac:dyDescent="0.25">
      <c r="A5" s="71"/>
      <c r="B5" s="20" t="s">
        <v>14</v>
      </c>
      <c r="C5" s="13">
        <v>104592255</v>
      </c>
      <c r="D5" s="13">
        <v>97656458</v>
      </c>
      <c r="E5" s="13">
        <v>99584179</v>
      </c>
      <c r="F5" s="13">
        <v>90198867</v>
      </c>
      <c r="G5" s="13">
        <v>92104968</v>
      </c>
      <c r="H5" s="13">
        <v>84527520</v>
      </c>
      <c r="I5" s="13">
        <v>86947739</v>
      </c>
      <c r="J5" s="13">
        <v>88735925</v>
      </c>
      <c r="K5" s="13">
        <v>88034975</v>
      </c>
      <c r="L5" s="13">
        <v>99892768</v>
      </c>
      <c r="M5" s="13">
        <v>106348257</v>
      </c>
      <c r="N5" s="13">
        <v>105356689</v>
      </c>
      <c r="O5" s="27">
        <f>N5/M5</f>
        <v>0.99067621766476155</v>
      </c>
      <c r="Q5" s="26">
        <f>AVERAGE(C5:N5)</f>
        <v>95331716.666666672</v>
      </c>
    </row>
    <row r="6" spans="1:17" x14ac:dyDescent="0.25">
      <c r="A6" s="71"/>
      <c r="B6" s="20" t="s">
        <v>15</v>
      </c>
      <c r="C6" s="13">
        <v>23416536</v>
      </c>
      <c r="D6" s="13">
        <v>20343906</v>
      </c>
      <c r="E6" s="13">
        <v>21017513</v>
      </c>
      <c r="F6" s="13">
        <v>19073541</v>
      </c>
      <c r="G6" s="13">
        <v>19624742</v>
      </c>
      <c r="H6" s="13">
        <v>17878878</v>
      </c>
      <c r="I6" s="13">
        <v>18825388</v>
      </c>
      <c r="J6" s="13">
        <v>19746565</v>
      </c>
      <c r="K6" s="13">
        <v>18758467</v>
      </c>
      <c r="L6" s="13">
        <v>20470897</v>
      </c>
      <c r="M6" s="13">
        <v>23504189</v>
      </c>
      <c r="N6" s="13">
        <v>24021262</v>
      </c>
      <c r="O6" s="27">
        <f t="shared" ref="O6:O8" si="0">N6/M6</f>
        <v>1.0219991849112513</v>
      </c>
      <c r="Q6" s="26">
        <f t="shared" ref="Q6:Q64" si="1">AVERAGE(C6:N6)</f>
        <v>20556823.666666668</v>
      </c>
    </row>
    <row r="7" spans="1:17" x14ac:dyDescent="0.25">
      <c r="A7" s="71"/>
      <c r="B7" s="20" t="s">
        <v>16</v>
      </c>
      <c r="C7" s="13">
        <v>982783</v>
      </c>
      <c r="D7" s="13">
        <v>844699</v>
      </c>
      <c r="E7" s="13">
        <v>983942</v>
      </c>
      <c r="F7" s="13">
        <v>1134137</v>
      </c>
      <c r="G7" s="13">
        <v>1220440</v>
      </c>
      <c r="H7" s="13">
        <v>1013588</v>
      </c>
      <c r="I7" s="13">
        <v>387918</v>
      </c>
      <c r="J7" s="13">
        <v>472177</v>
      </c>
      <c r="K7" s="13">
        <v>408607</v>
      </c>
      <c r="L7" s="13">
        <v>437749</v>
      </c>
      <c r="M7" s="13">
        <v>758369</v>
      </c>
      <c r="N7" s="13">
        <v>1076658</v>
      </c>
      <c r="O7" s="27">
        <f t="shared" si="0"/>
        <v>1.4197020184105626</v>
      </c>
      <c r="Q7" s="26">
        <f t="shared" si="1"/>
        <v>810088.91666666663</v>
      </c>
    </row>
    <row r="8" spans="1:17" x14ac:dyDescent="0.25">
      <c r="A8" s="71"/>
      <c r="B8" s="20" t="s">
        <v>17</v>
      </c>
      <c r="C8" s="13">
        <v>2673</v>
      </c>
      <c r="D8" s="13">
        <v>3148</v>
      </c>
      <c r="E8" s="13">
        <v>2115</v>
      </c>
      <c r="F8" s="13">
        <v>1323</v>
      </c>
      <c r="G8" s="13">
        <v>797</v>
      </c>
      <c r="H8" s="13">
        <v>472</v>
      </c>
      <c r="I8" s="13">
        <v>441</v>
      </c>
      <c r="J8" s="13">
        <v>698</v>
      </c>
      <c r="K8" s="13">
        <v>1833</v>
      </c>
      <c r="L8" s="13">
        <v>937</v>
      </c>
      <c r="M8" s="13">
        <v>2166</v>
      </c>
      <c r="N8" s="13">
        <v>2250</v>
      </c>
      <c r="O8" s="27">
        <f t="shared" si="0"/>
        <v>1.0387811634349031</v>
      </c>
      <c r="Q8" s="26">
        <f t="shared" si="1"/>
        <v>1571.0833333333333</v>
      </c>
    </row>
    <row r="9" spans="1:17" x14ac:dyDescent="0.25">
      <c r="A9" s="71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  <c r="Q9" s="26"/>
    </row>
    <row r="10" spans="1:17" x14ac:dyDescent="0.25">
      <c r="A10" s="71"/>
      <c r="B10" s="22"/>
      <c r="C10" s="13">
        <v>15017</v>
      </c>
      <c r="D10" s="13">
        <v>18569</v>
      </c>
      <c r="E10" s="13">
        <v>16069</v>
      </c>
      <c r="F10" s="13">
        <v>14759</v>
      </c>
      <c r="G10" s="13">
        <v>12735</v>
      </c>
      <c r="H10" s="13">
        <v>11351</v>
      </c>
      <c r="I10" s="13">
        <v>12272</v>
      </c>
      <c r="J10" s="13">
        <v>12465</v>
      </c>
      <c r="K10" s="13">
        <v>13502</v>
      </c>
      <c r="L10" s="13">
        <v>14515</v>
      </c>
      <c r="M10" s="13">
        <v>14594</v>
      </c>
      <c r="N10" s="13">
        <v>14983</v>
      </c>
      <c r="O10" s="27">
        <f>N10/M10</f>
        <v>1.0266547896395779</v>
      </c>
      <c r="Q10" s="26">
        <f t="shared" si="1"/>
        <v>14235.916666666666</v>
      </c>
    </row>
    <row r="11" spans="1:17" x14ac:dyDescent="0.25">
      <c r="A11" s="68" t="s">
        <v>18</v>
      </c>
      <c r="B11" s="69"/>
      <c r="C11" s="14">
        <f t="shared" ref="C11:N11" si="2">SUM(C5:C8,C10)</f>
        <v>129009264</v>
      </c>
      <c r="D11" s="14">
        <f t="shared" si="2"/>
        <v>118866780</v>
      </c>
      <c r="E11" s="14">
        <f>SUM(E5:E8,E10)</f>
        <v>121603818</v>
      </c>
      <c r="F11" s="14">
        <f t="shared" si="2"/>
        <v>110422627</v>
      </c>
      <c r="G11" s="14">
        <f>SUM(G5:G8,G10)</f>
        <v>112963682</v>
      </c>
      <c r="H11" s="14">
        <f t="shared" si="2"/>
        <v>103431809</v>
      </c>
      <c r="I11" s="14">
        <f>SUM(I5:I8,I10)</f>
        <v>106173758</v>
      </c>
      <c r="J11" s="14">
        <f>SUM(J5:J8,J10)</f>
        <v>108967830</v>
      </c>
      <c r="K11" s="14">
        <f t="shared" si="2"/>
        <v>107217384</v>
      </c>
      <c r="L11" s="14">
        <f t="shared" si="2"/>
        <v>120816866</v>
      </c>
      <c r="M11" s="14">
        <f t="shared" si="2"/>
        <v>130627575</v>
      </c>
      <c r="N11" s="14">
        <f t="shared" si="2"/>
        <v>130471842</v>
      </c>
      <c r="P11" s="23"/>
      <c r="Q11" s="26"/>
    </row>
    <row r="12" spans="1:17" x14ac:dyDescent="0.25">
      <c r="A12" s="70" t="s">
        <v>25</v>
      </c>
      <c r="B12" s="72" t="s">
        <v>19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Q12" s="26"/>
    </row>
    <row r="13" spans="1:17" x14ac:dyDescent="0.25">
      <c r="A13" s="71"/>
      <c r="B13" s="20" t="s">
        <v>14</v>
      </c>
      <c r="C13" s="13">
        <v>1829043</v>
      </c>
      <c r="D13" s="13">
        <v>1661311</v>
      </c>
      <c r="E13" s="13">
        <v>1662469</v>
      </c>
      <c r="F13" s="13">
        <v>1558950</v>
      </c>
      <c r="G13" s="13">
        <v>1368998</v>
      </c>
      <c r="H13" s="13">
        <v>1161923</v>
      </c>
      <c r="I13" s="13">
        <v>1217079</v>
      </c>
      <c r="J13" s="13">
        <v>1243669</v>
      </c>
      <c r="K13" s="13">
        <v>1405766</v>
      </c>
      <c r="L13" s="13">
        <v>1692860</v>
      </c>
      <c r="M13" s="13">
        <v>1853541</v>
      </c>
      <c r="N13" s="13">
        <v>1875543</v>
      </c>
      <c r="O13" s="27">
        <f t="shared" ref="O13:O16" si="3">N13/M13</f>
        <v>1.0118702526677317</v>
      </c>
      <c r="Q13" s="26">
        <f t="shared" si="1"/>
        <v>1544262.6666666667</v>
      </c>
    </row>
    <row r="14" spans="1:17" x14ac:dyDescent="0.25">
      <c r="A14" s="71"/>
      <c r="B14" s="20" t="s">
        <v>15</v>
      </c>
      <c r="C14" s="13">
        <v>287721</v>
      </c>
      <c r="D14" s="13">
        <v>243826</v>
      </c>
      <c r="E14" s="13">
        <v>199461</v>
      </c>
      <c r="F14" s="13">
        <v>160570</v>
      </c>
      <c r="G14" s="13">
        <v>118749</v>
      </c>
      <c r="H14" s="13">
        <v>73730</v>
      </c>
      <c r="I14" s="13">
        <v>73134</v>
      </c>
      <c r="J14" s="13">
        <v>80058</v>
      </c>
      <c r="K14" s="13">
        <v>99329</v>
      </c>
      <c r="L14" s="13">
        <v>156235</v>
      </c>
      <c r="M14" s="13">
        <v>257136.00000000003</v>
      </c>
      <c r="N14" s="13">
        <v>305280</v>
      </c>
      <c r="O14" s="27">
        <f t="shared" si="3"/>
        <v>1.1872316595109202</v>
      </c>
      <c r="Q14" s="26">
        <f t="shared" si="1"/>
        <v>171269.08333333334</v>
      </c>
    </row>
    <row r="15" spans="1:17" x14ac:dyDescent="0.25">
      <c r="A15" s="71"/>
      <c r="B15" s="20" t="s">
        <v>16</v>
      </c>
      <c r="C15" s="13">
        <v>2723137</v>
      </c>
      <c r="D15" s="13">
        <v>2512840</v>
      </c>
      <c r="E15" s="13">
        <v>2227490</v>
      </c>
      <c r="F15" s="13">
        <v>1923036</v>
      </c>
      <c r="G15" s="13">
        <v>1804225</v>
      </c>
      <c r="H15" s="13">
        <v>1607631</v>
      </c>
      <c r="I15" s="13">
        <v>1666532</v>
      </c>
      <c r="J15" s="13">
        <v>1706470</v>
      </c>
      <c r="K15" s="13">
        <v>1765320</v>
      </c>
      <c r="L15" s="13">
        <v>2114805</v>
      </c>
      <c r="M15" s="13">
        <v>2398501</v>
      </c>
      <c r="N15" s="13">
        <v>2563326</v>
      </c>
      <c r="O15" s="27">
        <f t="shared" si="3"/>
        <v>1.0687200047029375</v>
      </c>
      <c r="Q15" s="26">
        <f t="shared" si="1"/>
        <v>2084442.75</v>
      </c>
    </row>
    <row r="16" spans="1:17" x14ac:dyDescent="0.25">
      <c r="A16" s="71"/>
      <c r="B16" s="20" t="s">
        <v>17</v>
      </c>
      <c r="C16" s="13">
        <v>610000</v>
      </c>
      <c r="D16" s="13">
        <v>556768</v>
      </c>
      <c r="E16" s="13">
        <v>489462</v>
      </c>
      <c r="F16" s="13">
        <v>420045</v>
      </c>
      <c r="G16" s="13">
        <v>370144</v>
      </c>
      <c r="H16" s="13">
        <v>325624</v>
      </c>
      <c r="I16" s="13">
        <v>348030</v>
      </c>
      <c r="J16" s="13">
        <v>354383</v>
      </c>
      <c r="K16" s="13">
        <v>364599</v>
      </c>
      <c r="L16" s="13">
        <v>442402</v>
      </c>
      <c r="M16" s="13">
        <v>537321</v>
      </c>
      <c r="N16" s="13">
        <v>550261</v>
      </c>
      <c r="O16" s="27">
        <f t="shared" si="3"/>
        <v>1.0240824386167673</v>
      </c>
      <c r="Q16" s="26">
        <f t="shared" si="1"/>
        <v>447419.91666666669</v>
      </c>
    </row>
    <row r="17" spans="1:17" x14ac:dyDescent="0.25">
      <c r="A17" s="71"/>
      <c r="B17" s="72" t="s">
        <v>20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Q17" s="26"/>
    </row>
    <row r="18" spans="1:17" x14ac:dyDescent="0.25">
      <c r="A18" s="71"/>
      <c r="B18" s="22"/>
      <c r="C18" s="13">
        <v>2660369</v>
      </c>
      <c r="D18" s="13">
        <v>2291504</v>
      </c>
      <c r="E18" s="13">
        <v>2033681</v>
      </c>
      <c r="F18" s="13">
        <v>2000163</v>
      </c>
      <c r="G18" s="13">
        <v>2786181</v>
      </c>
      <c r="H18" s="13">
        <v>2558504.0000000005</v>
      </c>
      <c r="I18" s="13">
        <v>2604079</v>
      </c>
      <c r="J18" s="13">
        <v>2653572</v>
      </c>
      <c r="K18" s="13">
        <v>2457601</v>
      </c>
      <c r="L18" s="13">
        <v>2123733</v>
      </c>
      <c r="M18" s="13">
        <v>2055104</v>
      </c>
      <c r="N18" s="13">
        <v>2140024</v>
      </c>
      <c r="O18" s="27">
        <f>N18/M18</f>
        <v>1.0413215097630095</v>
      </c>
      <c r="Q18" s="26">
        <f t="shared" si="1"/>
        <v>2363709.5833333335</v>
      </c>
    </row>
    <row r="19" spans="1:17" x14ac:dyDescent="0.25">
      <c r="A19" s="68" t="s">
        <v>18</v>
      </c>
      <c r="B19" s="69"/>
      <c r="C19" s="14">
        <f t="shared" ref="C19:N19" si="4">SUM(C13:C16,C18)</f>
        <v>8110270</v>
      </c>
      <c r="D19" s="14">
        <f t="shared" si="4"/>
        <v>7266249</v>
      </c>
      <c r="E19" s="14">
        <f>SUM(E13:E16,E18)</f>
        <v>6612563</v>
      </c>
      <c r="F19" s="14">
        <f t="shared" si="4"/>
        <v>6062764</v>
      </c>
      <c r="G19" s="14">
        <f>SUM(G13:G16,G18)</f>
        <v>6448297</v>
      </c>
      <c r="H19" s="14">
        <f t="shared" si="4"/>
        <v>5727412</v>
      </c>
      <c r="I19" s="14">
        <f>SUM(I13:I16,I18)</f>
        <v>5908854</v>
      </c>
      <c r="J19" s="14">
        <f>SUM(J13:J16,J18)</f>
        <v>6038152</v>
      </c>
      <c r="K19" s="14">
        <f t="shared" si="4"/>
        <v>6092615</v>
      </c>
      <c r="L19" s="14">
        <f t="shared" si="4"/>
        <v>6530035</v>
      </c>
      <c r="M19" s="14">
        <f t="shared" si="4"/>
        <v>7101603</v>
      </c>
      <c r="N19" s="14">
        <f t="shared" si="4"/>
        <v>7434434</v>
      </c>
      <c r="Q19" s="26"/>
    </row>
    <row r="20" spans="1:17" x14ac:dyDescent="0.25">
      <c r="A20" s="70" t="s">
        <v>26</v>
      </c>
      <c r="B20" s="72" t="s">
        <v>19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  <c r="Q20" s="26"/>
    </row>
    <row r="21" spans="1:17" x14ac:dyDescent="0.25">
      <c r="A21" s="71"/>
      <c r="B21" s="20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Q21" s="26"/>
    </row>
    <row r="22" spans="1:17" x14ac:dyDescent="0.25">
      <c r="A22" s="71"/>
      <c r="B22" s="20" t="s">
        <v>15</v>
      </c>
      <c r="C22" s="13">
        <v>5991</v>
      </c>
      <c r="D22" s="13">
        <v>8719.9999999999982</v>
      </c>
      <c r="E22" s="13">
        <v>6814</v>
      </c>
      <c r="F22" s="13">
        <v>8554</v>
      </c>
      <c r="G22" s="13">
        <v>6179</v>
      </c>
      <c r="H22" s="13">
        <v>4234</v>
      </c>
      <c r="I22" s="13">
        <v>2803</v>
      </c>
      <c r="J22" s="13">
        <v>2339</v>
      </c>
      <c r="K22" s="13">
        <v>2359</v>
      </c>
      <c r="L22" s="13">
        <v>1930.0000000000002</v>
      </c>
      <c r="M22" s="13">
        <v>4733</v>
      </c>
      <c r="N22" s="13">
        <v>7025</v>
      </c>
      <c r="O22" s="27">
        <f t="shared" ref="O22:O24" si="5">N22/M22</f>
        <v>1.4842594548911896</v>
      </c>
      <c r="P22" s="23"/>
      <c r="Q22" s="26">
        <f t="shared" si="1"/>
        <v>5140.083333333333</v>
      </c>
    </row>
    <row r="23" spans="1:17" x14ac:dyDescent="0.25">
      <c r="A23" s="71"/>
      <c r="B23" s="20" t="s">
        <v>16</v>
      </c>
      <c r="C23" s="13">
        <v>54440</v>
      </c>
      <c r="D23" s="13">
        <v>52508</v>
      </c>
      <c r="E23" s="13">
        <v>51547</v>
      </c>
      <c r="F23" s="13">
        <v>52049</v>
      </c>
      <c r="G23" s="13">
        <v>48247</v>
      </c>
      <c r="H23" s="13">
        <v>47460</v>
      </c>
      <c r="I23" s="13">
        <v>32698.999999999996</v>
      </c>
      <c r="J23" s="13">
        <v>27705</v>
      </c>
      <c r="K23" s="13">
        <v>31628</v>
      </c>
      <c r="L23" s="13">
        <v>35939</v>
      </c>
      <c r="M23" s="13">
        <v>35575</v>
      </c>
      <c r="N23" s="13">
        <v>39644</v>
      </c>
      <c r="O23" s="27">
        <f t="shared" si="5"/>
        <v>1.114378074490513</v>
      </c>
      <c r="Q23" s="26">
        <f t="shared" si="1"/>
        <v>42453.416666666664</v>
      </c>
    </row>
    <row r="24" spans="1:17" x14ac:dyDescent="0.25">
      <c r="A24" s="71"/>
      <c r="B24" s="20" t="s">
        <v>17</v>
      </c>
      <c r="C24" s="13">
        <v>222241</v>
      </c>
      <c r="D24" s="13">
        <v>190265.00000000003</v>
      </c>
      <c r="E24" s="13">
        <v>142256</v>
      </c>
      <c r="F24" s="13">
        <v>149720</v>
      </c>
      <c r="G24" s="13">
        <v>120965</v>
      </c>
      <c r="H24" s="13">
        <v>105685.00000000001</v>
      </c>
      <c r="I24" s="13">
        <v>131520</v>
      </c>
      <c r="J24" s="13">
        <v>117795</v>
      </c>
      <c r="K24" s="13">
        <v>114475.99999999999</v>
      </c>
      <c r="L24" s="13">
        <v>118656.99999999999</v>
      </c>
      <c r="M24" s="13">
        <v>161583.99999999997</v>
      </c>
      <c r="N24" s="13">
        <v>171421</v>
      </c>
      <c r="O24" s="27">
        <f t="shared" si="5"/>
        <v>1.0608785523319142</v>
      </c>
      <c r="Q24" s="26">
        <f t="shared" si="1"/>
        <v>145548.75</v>
      </c>
    </row>
    <row r="25" spans="1:17" x14ac:dyDescent="0.25">
      <c r="A25" s="71"/>
      <c r="B25" s="72" t="s">
        <v>20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  <c r="P25" s="23"/>
      <c r="Q25" s="26"/>
    </row>
    <row r="26" spans="1:17" x14ac:dyDescent="0.25">
      <c r="A26" s="71"/>
      <c r="B26" s="22"/>
      <c r="C26" s="13">
        <v>444230.00000000006</v>
      </c>
      <c r="D26" s="13">
        <v>392910.00000000006</v>
      </c>
      <c r="E26" s="13">
        <v>388586</v>
      </c>
      <c r="F26" s="13">
        <v>395881.99999999988</v>
      </c>
      <c r="G26" s="13">
        <v>391597.00000000006</v>
      </c>
      <c r="H26" s="13">
        <v>393434.99999999994</v>
      </c>
      <c r="I26" s="13">
        <v>385819.99999999994</v>
      </c>
      <c r="J26" s="13">
        <v>373403</v>
      </c>
      <c r="K26" s="13">
        <v>378114.99999999994</v>
      </c>
      <c r="L26" s="13">
        <v>346328</v>
      </c>
      <c r="M26" s="13">
        <v>382466.00000000006</v>
      </c>
      <c r="N26" s="13">
        <v>382572</v>
      </c>
      <c r="O26" s="27">
        <f>N26/M26</f>
        <v>1.000277148818457</v>
      </c>
      <c r="Q26" s="26">
        <f t="shared" si="1"/>
        <v>387945.33333333331</v>
      </c>
    </row>
    <row r="27" spans="1:17" x14ac:dyDescent="0.25">
      <c r="A27" s="68" t="s">
        <v>18</v>
      </c>
      <c r="B27" s="69"/>
      <c r="C27" s="14">
        <f t="shared" ref="C27:M27" si="6">SUM(C21:C24,C26)</f>
        <v>726902</v>
      </c>
      <c r="D27" s="14">
        <f t="shared" si="6"/>
        <v>644403.00000000012</v>
      </c>
      <c r="E27" s="14">
        <f>SUM(E21:E24,E26)</f>
        <v>589203</v>
      </c>
      <c r="F27" s="14">
        <f t="shared" si="6"/>
        <v>606204.99999999988</v>
      </c>
      <c r="G27" s="14">
        <f>SUM(G21:G24,G26)</f>
        <v>566988</v>
      </c>
      <c r="H27" s="14">
        <f t="shared" si="6"/>
        <v>550814</v>
      </c>
      <c r="I27" s="14">
        <f>SUM(I21:I24,I26)</f>
        <v>552842</v>
      </c>
      <c r="J27" s="14">
        <f>SUM(J21:J24,J26)</f>
        <v>521242</v>
      </c>
      <c r="K27" s="14">
        <f t="shared" si="6"/>
        <v>526578</v>
      </c>
      <c r="L27" s="14">
        <f t="shared" si="6"/>
        <v>502854</v>
      </c>
      <c r="M27" s="14">
        <f t="shared" si="6"/>
        <v>584358</v>
      </c>
      <c r="N27" s="14">
        <f>SUM(N21:N24,N26)</f>
        <v>600662</v>
      </c>
      <c r="Q27" s="26"/>
    </row>
    <row r="28" spans="1:17" x14ac:dyDescent="0.25">
      <c r="A28" s="70" t="s">
        <v>31</v>
      </c>
      <c r="B28" s="72" t="s">
        <v>19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Q28" s="26"/>
    </row>
    <row r="29" spans="1:17" x14ac:dyDescent="0.25">
      <c r="A29" s="71"/>
      <c r="B29" s="20" t="s">
        <v>14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1"/>
      <c r="Q29" s="26"/>
    </row>
    <row r="30" spans="1:17" x14ac:dyDescent="0.25">
      <c r="A30" s="71"/>
      <c r="B30" s="20" t="s">
        <v>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/>
      <c r="Q30" s="26"/>
    </row>
    <row r="31" spans="1:17" x14ac:dyDescent="0.25">
      <c r="A31" s="71"/>
      <c r="B31" s="20" t="s">
        <v>16</v>
      </c>
      <c r="C31" s="13">
        <v>323335</v>
      </c>
      <c r="D31" s="13">
        <v>300546</v>
      </c>
      <c r="E31" s="13">
        <v>243229</v>
      </c>
      <c r="F31" s="13">
        <v>201741</v>
      </c>
      <c r="G31" s="13">
        <v>142730</v>
      </c>
      <c r="H31" s="13">
        <v>117858</v>
      </c>
      <c r="I31" s="13">
        <v>120727</v>
      </c>
      <c r="J31" s="13">
        <v>124279</v>
      </c>
      <c r="K31" s="13">
        <v>131663</v>
      </c>
      <c r="L31" s="13">
        <v>215273</v>
      </c>
      <c r="M31" s="13">
        <v>265908</v>
      </c>
      <c r="N31" s="13">
        <v>298116</v>
      </c>
      <c r="O31" s="27">
        <f t="shared" ref="O31:O32" si="7">N31/M31</f>
        <v>1.1211245994855363</v>
      </c>
      <c r="Q31" s="26">
        <f t="shared" si="1"/>
        <v>207117.08333333334</v>
      </c>
    </row>
    <row r="32" spans="1:17" x14ac:dyDescent="0.25">
      <c r="A32" s="71"/>
      <c r="B32" s="20" t="s">
        <v>17</v>
      </c>
      <c r="C32" s="13">
        <v>5934</v>
      </c>
      <c r="D32" s="13">
        <v>4758</v>
      </c>
      <c r="E32" s="13">
        <v>4578</v>
      </c>
      <c r="F32" s="13">
        <v>3300</v>
      </c>
      <c r="G32" s="13">
        <v>3354</v>
      </c>
      <c r="H32" s="13">
        <v>1987</v>
      </c>
      <c r="I32" s="13">
        <v>1779</v>
      </c>
      <c r="J32" s="13">
        <v>2303</v>
      </c>
      <c r="K32" s="13">
        <v>2768</v>
      </c>
      <c r="L32" s="13">
        <v>4093</v>
      </c>
      <c r="M32" s="13">
        <v>5164</v>
      </c>
      <c r="N32" s="13">
        <v>5871</v>
      </c>
      <c r="O32" s="27">
        <f t="shared" si="7"/>
        <v>1.1369093725793957</v>
      </c>
      <c r="Q32" s="26">
        <f t="shared" si="1"/>
        <v>3824.0833333333335</v>
      </c>
    </row>
    <row r="33" spans="1:17" x14ac:dyDescent="0.25">
      <c r="A33" s="71"/>
      <c r="B33" s="72" t="s">
        <v>20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Q33" s="26"/>
    </row>
    <row r="34" spans="1:17" x14ac:dyDescent="0.25">
      <c r="A34" s="71"/>
      <c r="B34" s="22"/>
      <c r="C34" s="13">
        <v>6217</v>
      </c>
      <c r="D34" s="13">
        <v>5402</v>
      </c>
      <c r="E34" s="13">
        <v>5501</v>
      </c>
      <c r="F34" s="13">
        <v>4298</v>
      </c>
      <c r="G34" s="13">
        <v>4327</v>
      </c>
      <c r="H34" s="13">
        <v>4058</v>
      </c>
      <c r="I34" s="13">
        <v>3621</v>
      </c>
      <c r="J34" s="13">
        <v>3534</v>
      </c>
      <c r="K34" s="13">
        <v>5039</v>
      </c>
      <c r="L34" s="13">
        <v>5910</v>
      </c>
      <c r="M34" s="13">
        <v>6907</v>
      </c>
      <c r="N34" s="13">
        <v>6964</v>
      </c>
      <c r="O34" s="27">
        <f>N34/M34</f>
        <v>1.0082524974663385</v>
      </c>
      <c r="Q34" s="26">
        <f t="shared" si="1"/>
        <v>5148.166666666667</v>
      </c>
    </row>
    <row r="35" spans="1:17" x14ac:dyDescent="0.25">
      <c r="A35" s="68" t="s">
        <v>18</v>
      </c>
      <c r="B35" s="69"/>
      <c r="C35" s="14">
        <f t="shared" ref="C35:N35" si="8">SUM(C29:C32,C34)</f>
        <v>335486</v>
      </c>
      <c r="D35" s="14">
        <f t="shared" si="8"/>
        <v>310706</v>
      </c>
      <c r="E35" s="14">
        <f>SUM(E29:E32,E34)</f>
        <v>253308</v>
      </c>
      <c r="F35" s="14">
        <f t="shared" si="8"/>
        <v>209339</v>
      </c>
      <c r="G35" s="14">
        <f>SUM(G29:G32,G34)</f>
        <v>150411</v>
      </c>
      <c r="H35" s="14">
        <f t="shared" si="8"/>
        <v>123903</v>
      </c>
      <c r="I35" s="14">
        <f>SUM(I29:I32,I34)</f>
        <v>126127</v>
      </c>
      <c r="J35" s="14">
        <f>SUM(J29:J32,J34)</f>
        <v>130116</v>
      </c>
      <c r="K35" s="14">
        <f t="shared" si="8"/>
        <v>139470</v>
      </c>
      <c r="L35" s="14">
        <f t="shared" si="8"/>
        <v>225276</v>
      </c>
      <c r="M35" s="14">
        <f t="shared" si="8"/>
        <v>277979</v>
      </c>
      <c r="N35" s="14">
        <f t="shared" si="8"/>
        <v>310951</v>
      </c>
      <c r="Q35" s="26"/>
    </row>
    <row r="36" spans="1:17" x14ac:dyDescent="0.25">
      <c r="A36" s="70" t="s">
        <v>32</v>
      </c>
      <c r="B36" s="72" t="s">
        <v>19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Q36" s="26"/>
    </row>
    <row r="37" spans="1:17" x14ac:dyDescent="0.25">
      <c r="A37" s="71"/>
      <c r="B37" s="20" t="s">
        <v>14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1"/>
      <c r="Q37" s="26"/>
    </row>
    <row r="38" spans="1:17" x14ac:dyDescent="0.25">
      <c r="A38" s="71"/>
      <c r="B38" s="20" t="s">
        <v>15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1"/>
      <c r="Q38" s="26"/>
    </row>
    <row r="39" spans="1:17" x14ac:dyDescent="0.25">
      <c r="A39" s="71"/>
      <c r="B39" s="20" t="s">
        <v>16</v>
      </c>
      <c r="C39" s="13">
        <v>276747</v>
      </c>
      <c r="D39" s="13">
        <v>260165</v>
      </c>
      <c r="E39" s="13">
        <v>233727</v>
      </c>
      <c r="F39" s="13">
        <v>191198</v>
      </c>
      <c r="G39" s="13">
        <v>138344</v>
      </c>
      <c r="H39" s="13">
        <v>147395</v>
      </c>
      <c r="I39" s="13">
        <v>125094</v>
      </c>
      <c r="J39" s="13">
        <v>124972</v>
      </c>
      <c r="K39" s="13">
        <v>133996</v>
      </c>
      <c r="L39" s="13">
        <v>207917</v>
      </c>
      <c r="M39" s="13">
        <v>222525</v>
      </c>
      <c r="N39" s="13">
        <v>249265</v>
      </c>
      <c r="O39" s="27">
        <f t="shared" ref="O39:O40" si="9">N39/M39</f>
        <v>1.1201662734524211</v>
      </c>
      <c r="Q39" s="26">
        <f t="shared" si="1"/>
        <v>192612.08333333334</v>
      </c>
    </row>
    <row r="40" spans="1:17" x14ac:dyDescent="0.25">
      <c r="A40" s="71"/>
      <c r="B40" s="20" t="s">
        <v>17</v>
      </c>
      <c r="C40" s="13">
        <v>33447</v>
      </c>
      <c r="D40" s="13">
        <v>32567</v>
      </c>
      <c r="E40" s="13">
        <v>29228</v>
      </c>
      <c r="F40" s="13">
        <v>23691</v>
      </c>
      <c r="G40" s="13">
        <v>17106</v>
      </c>
      <c r="H40" s="13">
        <v>18080</v>
      </c>
      <c r="I40" s="13">
        <v>14709</v>
      </c>
      <c r="J40" s="13">
        <v>16033</v>
      </c>
      <c r="K40" s="13">
        <v>20128</v>
      </c>
      <c r="L40" s="13">
        <v>19174</v>
      </c>
      <c r="M40" s="13">
        <v>26236</v>
      </c>
      <c r="N40" s="13">
        <v>29373</v>
      </c>
      <c r="O40" s="27">
        <f t="shared" si="9"/>
        <v>1.1195685317883823</v>
      </c>
      <c r="Q40" s="26">
        <f t="shared" si="1"/>
        <v>23314.333333333332</v>
      </c>
    </row>
    <row r="41" spans="1:17" x14ac:dyDescent="0.25">
      <c r="A41" s="71"/>
      <c r="B41" s="72" t="s">
        <v>20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Q41" s="26"/>
    </row>
    <row r="42" spans="1:17" x14ac:dyDescent="0.25">
      <c r="A42" s="71"/>
      <c r="B42" s="22"/>
      <c r="C42" s="13">
        <v>100</v>
      </c>
      <c r="D42" s="13">
        <v>100</v>
      </c>
      <c r="E42" s="13">
        <v>100</v>
      </c>
      <c r="F42" s="13">
        <v>100</v>
      </c>
      <c r="G42" s="13">
        <v>100</v>
      </c>
      <c r="H42" s="13">
        <v>100</v>
      </c>
      <c r="I42" s="13">
        <v>100</v>
      </c>
      <c r="J42" s="13">
        <v>100</v>
      </c>
      <c r="K42" s="13">
        <v>100</v>
      </c>
      <c r="L42" s="13">
        <v>100</v>
      </c>
      <c r="M42" s="13">
        <v>100</v>
      </c>
      <c r="N42" s="13">
        <v>100</v>
      </c>
      <c r="O42" s="27">
        <f>N42/M42</f>
        <v>1</v>
      </c>
      <c r="Q42" s="26">
        <f t="shared" si="1"/>
        <v>100</v>
      </c>
    </row>
    <row r="43" spans="1:17" x14ac:dyDescent="0.25">
      <c r="A43" s="68" t="s">
        <v>18</v>
      </c>
      <c r="B43" s="69"/>
      <c r="C43" s="14">
        <f t="shared" ref="C43:N43" si="10">SUM(C37:C40,C42)</f>
        <v>310294</v>
      </c>
      <c r="D43" s="14">
        <f t="shared" si="10"/>
        <v>292832</v>
      </c>
      <c r="E43" s="14">
        <f>SUM(E37:E40,E42)</f>
        <v>263055</v>
      </c>
      <c r="F43" s="14">
        <f t="shared" si="10"/>
        <v>214989</v>
      </c>
      <c r="G43" s="14">
        <f>SUM(G37:G40,G42)</f>
        <v>155550</v>
      </c>
      <c r="H43" s="14">
        <f t="shared" si="10"/>
        <v>165575</v>
      </c>
      <c r="I43" s="14">
        <f>SUM(I37:I40,I42)</f>
        <v>139903</v>
      </c>
      <c r="J43" s="14">
        <f>SUM(J37:J40,J42)</f>
        <v>141105</v>
      </c>
      <c r="K43" s="14">
        <f t="shared" si="10"/>
        <v>154224</v>
      </c>
      <c r="L43" s="14">
        <f t="shared" si="10"/>
        <v>227191</v>
      </c>
      <c r="M43" s="14">
        <f t="shared" si="10"/>
        <v>248861</v>
      </c>
      <c r="N43" s="14">
        <f t="shared" si="10"/>
        <v>278738</v>
      </c>
      <c r="Q43" s="26"/>
    </row>
    <row r="44" spans="1:17" x14ac:dyDescent="0.25">
      <c r="A44" s="70" t="s">
        <v>33</v>
      </c>
      <c r="B44" s="72" t="s">
        <v>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Q44" s="26"/>
    </row>
    <row r="45" spans="1:17" x14ac:dyDescent="0.25">
      <c r="A45" s="71"/>
      <c r="B45" s="20" t="s">
        <v>14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1"/>
      <c r="Q45" s="26"/>
    </row>
    <row r="46" spans="1:17" x14ac:dyDescent="0.25">
      <c r="A46" s="71"/>
      <c r="B46" s="20" t="s">
        <v>15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1"/>
      <c r="Q46" s="26"/>
    </row>
    <row r="47" spans="1:17" x14ac:dyDescent="0.25">
      <c r="A47" s="71"/>
      <c r="B47" s="20" t="s">
        <v>16</v>
      </c>
      <c r="C47" s="13">
        <v>42638</v>
      </c>
      <c r="D47" s="13">
        <v>40009</v>
      </c>
      <c r="E47" s="13">
        <v>39014</v>
      </c>
      <c r="F47" s="13">
        <v>38618</v>
      </c>
      <c r="G47" s="13">
        <v>30559</v>
      </c>
      <c r="H47" s="13">
        <v>36089</v>
      </c>
      <c r="I47" s="13">
        <v>31821</v>
      </c>
      <c r="J47" s="13">
        <v>34119</v>
      </c>
      <c r="K47" s="13">
        <v>33222</v>
      </c>
      <c r="L47" s="13">
        <v>37798</v>
      </c>
      <c r="M47" s="13">
        <v>42161</v>
      </c>
      <c r="N47" s="13">
        <v>43173</v>
      </c>
      <c r="O47" s="27">
        <f>N47/M47</f>
        <v>1.0240032257299401</v>
      </c>
      <c r="Q47" s="26">
        <f t="shared" si="1"/>
        <v>37435.083333333336</v>
      </c>
    </row>
    <row r="48" spans="1:17" x14ac:dyDescent="0.25">
      <c r="A48" s="71"/>
      <c r="B48" s="20" t="s">
        <v>17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21"/>
      <c r="N48" s="21"/>
      <c r="Q48" s="26"/>
    </row>
    <row r="49" spans="1:17" x14ac:dyDescent="0.25">
      <c r="A49" s="71"/>
      <c r="B49" s="72" t="s">
        <v>20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Q49" s="26"/>
    </row>
    <row r="50" spans="1:17" x14ac:dyDescent="0.25">
      <c r="A50" s="71"/>
      <c r="B50" s="22"/>
      <c r="C50" s="13">
        <v>1989</v>
      </c>
      <c r="D50" s="13">
        <v>1788</v>
      </c>
      <c r="E50" s="13">
        <v>2009</v>
      </c>
      <c r="F50" s="13">
        <v>1687</v>
      </c>
      <c r="G50" s="13">
        <v>2635</v>
      </c>
      <c r="H50" s="13">
        <v>340</v>
      </c>
      <c r="I50" s="13">
        <v>0</v>
      </c>
      <c r="J50" s="13">
        <v>0</v>
      </c>
      <c r="K50" s="13">
        <v>0</v>
      </c>
      <c r="L50" s="13">
        <v>0</v>
      </c>
      <c r="M50" s="13"/>
      <c r="N50" s="13"/>
      <c r="Q50" s="26"/>
    </row>
    <row r="51" spans="1:17" x14ac:dyDescent="0.25">
      <c r="A51" s="68" t="s">
        <v>18</v>
      </c>
      <c r="B51" s="69"/>
      <c r="C51" s="14">
        <f t="shared" ref="C51:N51" si="11">SUM(C45:C48,C50)</f>
        <v>44627</v>
      </c>
      <c r="D51" s="14">
        <f t="shared" si="11"/>
        <v>41797</v>
      </c>
      <c r="E51" s="14">
        <f>SUM(E45:E48,E50)</f>
        <v>41023</v>
      </c>
      <c r="F51" s="14">
        <f t="shared" si="11"/>
        <v>40305</v>
      </c>
      <c r="G51" s="14">
        <f>SUM(G45:G48,G50)</f>
        <v>33194</v>
      </c>
      <c r="H51" s="14">
        <f t="shared" si="11"/>
        <v>36429</v>
      </c>
      <c r="I51" s="14">
        <f>SUM(I45:I48,I50)</f>
        <v>31821</v>
      </c>
      <c r="J51" s="14">
        <f>SUM(J45:J48,J50)</f>
        <v>34119</v>
      </c>
      <c r="K51" s="14">
        <f t="shared" si="11"/>
        <v>33222</v>
      </c>
      <c r="L51" s="14">
        <f t="shared" si="11"/>
        <v>37798</v>
      </c>
      <c r="M51" s="14">
        <f t="shared" si="11"/>
        <v>42161</v>
      </c>
      <c r="N51" s="14">
        <f t="shared" si="11"/>
        <v>43173</v>
      </c>
      <c r="Q51" s="26"/>
    </row>
    <row r="52" spans="1:17" x14ac:dyDescent="0.25">
      <c r="A52" s="70" t="s">
        <v>34</v>
      </c>
      <c r="B52" s="72" t="s">
        <v>19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Q52" s="26"/>
    </row>
    <row r="53" spans="1:17" x14ac:dyDescent="0.25">
      <c r="A53" s="71"/>
      <c r="B53" s="20" t="s">
        <v>14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1"/>
      <c r="Q53" s="26"/>
    </row>
    <row r="54" spans="1:17" x14ac:dyDescent="0.25">
      <c r="A54" s="71"/>
      <c r="B54" s="20" t="s">
        <v>15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1"/>
      <c r="Q54" s="26"/>
    </row>
    <row r="55" spans="1:17" x14ac:dyDescent="0.25">
      <c r="A55" s="71"/>
      <c r="B55" s="20" t="s">
        <v>16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1"/>
      <c r="Q55" s="26"/>
    </row>
    <row r="56" spans="1:17" x14ac:dyDescent="0.25">
      <c r="A56" s="71"/>
      <c r="B56" s="20" t="s">
        <v>17</v>
      </c>
      <c r="C56" s="13">
        <v>4997</v>
      </c>
      <c r="D56" s="13">
        <v>4462</v>
      </c>
      <c r="E56" s="13">
        <v>3369</v>
      </c>
      <c r="F56" s="13">
        <v>2375</v>
      </c>
      <c r="G56" s="13">
        <v>2004</v>
      </c>
      <c r="H56" s="13">
        <v>459</v>
      </c>
      <c r="I56" s="13">
        <v>312</v>
      </c>
      <c r="J56" s="13">
        <v>606</v>
      </c>
      <c r="K56" s="13">
        <v>1168</v>
      </c>
      <c r="L56" s="13">
        <v>3295</v>
      </c>
      <c r="M56" s="13">
        <v>4224</v>
      </c>
      <c r="N56" s="13">
        <v>4439</v>
      </c>
      <c r="O56" s="27">
        <f>N56/M56</f>
        <v>1.0508996212121211</v>
      </c>
      <c r="Q56" s="26">
        <f t="shared" si="1"/>
        <v>2642.5</v>
      </c>
    </row>
    <row r="57" spans="1:17" x14ac:dyDescent="0.25">
      <c r="A57" s="71"/>
      <c r="B57" s="72" t="s">
        <v>20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  <c r="Q57" s="26"/>
    </row>
    <row r="58" spans="1:17" x14ac:dyDescent="0.25">
      <c r="A58" s="71"/>
      <c r="B58" s="2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1"/>
      <c r="Q58" s="26"/>
    </row>
    <row r="59" spans="1:17" x14ac:dyDescent="0.25">
      <c r="A59" s="68" t="s">
        <v>18</v>
      </c>
      <c r="B59" s="69"/>
      <c r="C59" s="14">
        <f t="shared" ref="C59:N59" si="12">SUM(C53:C56,C58)</f>
        <v>4997</v>
      </c>
      <c r="D59" s="14">
        <f t="shared" si="12"/>
        <v>4462</v>
      </c>
      <c r="E59" s="14">
        <f>SUM(E53:E56,E58)</f>
        <v>3369</v>
      </c>
      <c r="F59" s="14">
        <f t="shared" si="12"/>
        <v>2375</v>
      </c>
      <c r="G59" s="14">
        <f>SUM(G53:G56,G58)</f>
        <v>2004</v>
      </c>
      <c r="H59" s="14">
        <f t="shared" si="12"/>
        <v>459</v>
      </c>
      <c r="I59" s="14">
        <f>SUM(I53:I56,I58)</f>
        <v>312</v>
      </c>
      <c r="J59" s="14">
        <f>SUM(J53:J56,J58)</f>
        <v>606</v>
      </c>
      <c r="K59" s="14">
        <f t="shared" si="12"/>
        <v>1168</v>
      </c>
      <c r="L59" s="14">
        <f t="shared" si="12"/>
        <v>3295</v>
      </c>
      <c r="M59" s="14">
        <f t="shared" si="12"/>
        <v>4224</v>
      </c>
      <c r="N59" s="14">
        <f t="shared" si="12"/>
        <v>4439</v>
      </c>
      <c r="Q59" s="26"/>
    </row>
    <row r="60" spans="1:17" x14ac:dyDescent="0.25">
      <c r="A60" s="70" t="s">
        <v>35</v>
      </c>
      <c r="B60" s="72" t="s">
        <v>19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4"/>
      <c r="Q60" s="26"/>
    </row>
    <row r="61" spans="1:17" x14ac:dyDescent="0.25">
      <c r="A61" s="71"/>
      <c r="B61" s="20" t="s">
        <v>14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1"/>
      <c r="Q61" s="26"/>
    </row>
    <row r="62" spans="1:17" x14ac:dyDescent="0.25">
      <c r="A62" s="71"/>
      <c r="B62" s="20" t="s">
        <v>15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1"/>
      <c r="Q62" s="26"/>
    </row>
    <row r="63" spans="1:17" x14ac:dyDescent="0.25">
      <c r="A63" s="71"/>
      <c r="B63" s="20" t="s">
        <v>16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1"/>
      <c r="Q63" s="26"/>
    </row>
    <row r="64" spans="1:17" x14ac:dyDescent="0.25">
      <c r="A64" s="71"/>
      <c r="B64" s="20" t="s">
        <v>17</v>
      </c>
      <c r="C64" s="13">
        <v>4503</v>
      </c>
      <c r="D64" s="13">
        <v>6617</v>
      </c>
      <c r="E64" s="13">
        <v>6065</v>
      </c>
      <c r="F64" s="13">
        <v>5790</v>
      </c>
      <c r="G64" s="13">
        <v>4993</v>
      </c>
      <c r="H64" s="13">
        <v>5361</v>
      </c>
      <c r="I64" s="13">
        <v>4840</v>
      </c>
      <c r="J64" s="13">
        <v>4013</v>
      </c>
      <c r="K64" s="13">
        <v>5422</v>
      </c>
      <c r="L64" s="13">
        <v>6647</v>
      </c>
      <c r="M64" s="13">
        <v>6831</v>
      </c>
      <c r="N64" s="13">
        <v>6923</v>
      </c>
      <c r="O64" s="27">
        <f>N64/M64</f>
        <v>1.0134680134680134</v>
      </c>
      <c r="Q64" s="26">
        <f t="shared" si="1"/>
        <v>5667.083333333333</v>
      </c>
    </row>
    <row r="65" spans="1:17" x14ac:dyDescent="0.25">
      <c r="A65" s="71"/>
      <c r="B65" s="72" t="s">
        <v>20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Q65" s="26"/>
    </row>
    <row r="66" spans="1:17" x14ac:dyDescent="0.25">
      <c r="A66" s="71"/>
      <c r="B66" s="2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1"/>
      <c r="Q66" s="26"/>
    </row>
    <row r="67" spans="1:17" x14ac:dyDescent="0.25">
      <c r="A67" s="68" t="s">
        <v>18</v>
      </c>
      <c r="B67" s="69"/>
      <c r="C67" s="14">
        <f t="shared" ref="C67:N67" si="13">SUM(C61:C64,C66)</f>
        <v>4503</v>
      </c>
      <c r="D67" s="14">
        <f t="shared" si="13"/>
        <v>6617</v>
      </c>
      <c r="E67" s="14">
        <f>SUM(E61:E64,E66)</f>
        <v>6065</v>
      </c>
      <c r="F67" s="14">
        <f t="shared" si="13"/>
        <v>5790</v>
      </c>
      <c r="G67" s="14">
        <f>SUM(G61:G64,G66)</f>
        <v>4993</v>
      </c>
      <c r="H67" s="14">
        <f t="shared" si="13"/>
        <v>5361</v>
      </c>
      <c r="I67" s="14">
        <f>SUM(I61:I64,I66)</f>
        <v>4840</v>
      </c>
      <c r="J67" s="14">
        <f>SUM(J61:J64,J66)</f>
        <v>4013</v>
      </c>
      <c r="K67" s="14">
        <f t="shared" si="13"/>
        <v>5422</v>
      </c>
      <c r="L67" s="14">
        <f t="shared" si="13"/>
        <v>6647</v>
      </c>
      <c r="M67" s="14">
        <f t="shared" si="13"/>
        <v>6831</v>
      </c>
      <c r="N67" s="14">
        <f t="shared" si="13"/>
        <v>6923</v>
      </c>
      <c r="Q67" s="26"/>
    </row>
    <row r="68" spans="1:17" x14ac:dyDescent="0.25">
      <c r="A68" s="70" t="s">
        <v>36</v>
      </c>
      <c r="B68" s="72" t="s">
        <v>19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4"/>
      <c r="Q68" s="26"/>
    </row>
    <row r="69" spans="1:17" x14ac:dyDescent="0.25">
      <c r="A69" s="71"/>
      <c r="B69" s="20" t="s">
        <v>14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1"/>
      <c r="Q69" s="26"/>
    </row>
    <row r="70" spans="1:17" x14ac:dyDescent="0.25">
      <c r="A70" s="71"/>
      <c r="B70" s="20" t="s">
        <v>15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1"/>
      <c r="Q70" s="26"/>
    </row>
    <row r="71" spans="1:17" x14ac:dyDescent="0.25">
      <c r="A71" s="71"/>
      <c r="B71" s="20" t="s">
        <v>16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1"/>
      <c r="Q71" s="26"/>
    </row>
    <row r="72" spans="1:17" x14ac:dyDescent="0.25">
      <c r="A72" s="71"/>
      <c r="B72" s="20" t="s">
        <v>17</v>
      </c>
      <c r="C72" s="13">
        <v>447</v>
      </c>
      <c r="D72" s="13">
        <v>402</v>
      </c>
      <c r="E72" s="13">
        <v>353</v>
      </c>
      <c r="F72" s="13">
        <v>300</v>
      </c>
      <c r="G72" s="13">
        <v>243</v>
      </c>
      <c r="H72" s="13">
        <v>185</v>
      </c>
      <c r="I72" s="13">
        <v>198</v>
      </c>
      <c r="J72" s="13">
        <v>250</v>
      </c>
      <c r="K72" s="13">
        <v>321</v>
      </c>
      <c r="L72" s="13">
        <v>370</v>
      </c>
      <c r="M72" s="13">
        <v>418</v>
      </c>
      <c r="N72" s="13">
        <v>456</v>
      </c>
      <c r="O72" s="27">
        <f>N72/M72</f>
        <v>1.0909090909090908</v>
      </c>
      <c r="Q72" s="26">
        <f t="shared" ref="Q72:Q80" si="14">AVERAGE(C72:N72)</f>
        <v>328.58333333333331</v>
      </c>
    </row>
    <row r="73" spans="1:17" x14ac:dyDescent="0.25">
      <c r="A73" s="71"/>
      <c r="B73" s="72" t="s">
        <v>20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4"/>
      <c r="Q73" s="26"/>
    </row>
    <row r="74" spans="1:17" x14ac:dyDescent="0.25">
      <c r="A74" s="71"/>
      <c r="B74" s="2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1"/>
      <c r="Q74" s="26"/>
    </row>
    <row r="75" spans="1:17" x14ac:dyDescent="0.25">
      <c r="A75" s="68" t="s">
        <v>18</v>
      </c>
      <c r="B75" s="69"/>
      <c r="C75" s="14">
        <f t="shared" ref="C75:N75" si="15">SUM(C69:C72,C74)</f>
        <v>447</v>
      </c>
      <c r="D75" s="14">
        <f t="shared" si="15"/>
        <v>402</v>
      </c>
      <c r="E75" s="14">
        <f>SUM(E69:E72,E74)</f>
        <v>353</v>
      </c>
      <c r="F75" s="14">
        <f t="shared" si="15"/>
        <v>300</v>
      </c>
      <c r="G75" s="14">
        <f>SUM(G69:G72,G74)</f>
        <v>243</v>
      </c>
      <c r="H75" s="14">
        <f t="shared" si="15"/>
        <v>185</v>
      </c>
      <c r="I75" s="14">
        <f>SUM(I69:I72,I74)</f>
        <v>198</v>
      </c>
      <c r="J75" s="14">
        <f>SUM(J69:J72,J74)</f>
        <v>250</v>
      </c>
      <c r="K75" s="14">
        <f t="shared" si="15"/>
        <v>321</v>
      </c>
      <c r="L75" s="14">
        <f t="shared" si="15"/>
        <v>370</v>
      </c>
      <c r="M75" s="14">
        <f t="shared" si="15"/>
        <v>418</v>
      </c>
      <c r="N75" s="14">
        <f t="shared" si="15"/>
        <v>456</v>
      </c>
      <c r="Q75" s="26"/>
    </row>
    <row r="76" spans="1:17" x14ac:dyDescent="0.25">
      <c r="A76" s="70" t="s">
        <v>37</v>
      </c>
      <c r="B76" s="72" t="s">
        <v>19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4"/>
      <c r="Q76" s="26"/>
    </row>
    <row r="77" spans="1:17" x14ac:dyDescent="0.25">
      <c r="A77" s="71"/>
      <c r="B77" s="20" t="s">
        <v>14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1"/>
      <c r="Q77" s="26"/>
    </row>
    <row r="78" spans="1:17" x14ac:dyDescent="0.25">
      <c r="A78" s="71"/>
      <c r="B78" s="20" t="s">
        <v>15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1"/>
      <c r="Q78" s="26"/>
    </row>
    <row r="79" spans="1:17" x14ac:dyDescent="0.25">
      <c r="A79" s="71"/>
      <c r="B79" s="20" t="s">
        <v>16</v>
      </c>
      <c r="C79" s="13">
        <v>40</v>
      </c>
      <c r="D79" s="13">
        <v>138</v>
      </c>
      <c r="E79" s="13">
        <v>50</v>
      </c>
      <c r="F79" s="13">
        <v>0</v>
      </c>
      <c r="G79" s="13">
        <v>0</v>
      </c>
      <c r="H79" s="13">
        <v>0</v>
      </c>
      <c r="I79" s="13">
        <v>20</v>
      </c>
      <c r="J79" s="13">
        <v>10</v>
      </c>
      <c r="K79" s="13">
        <v>0</v>
      </c>
      <c r="L79" s="13">
        <v>10</v>
      </c>
      <c r="M79" s="13">
        <v>62</v>
      </c>
      <c r="N79" s="13">
        <v>995</v>
      </c>
      <c r="O79" s="27">
        <f t="shared" ref="O79:O80" si="16">N79/M79</f>
        <v>16.048387096774192</v>
      </c>
      <c r="Q79" s="26">
        <f t="shared" si="14"/>
        <v>110.41666666666667</v>
      </c>
    </row>
    <row r="80" spans="1:17" x14ac:dyDescent="0.25">
      <c r="A80" s="71"/>
      <c r="B80" s="20" t="s">
        <v>17</v>
      </c>
      <c r="C80" s="13">
        <v>6116</v>
      </c>
      <c r="D80" s="13">
        <v>5214</v>
      </c>
      <c r="E80" s="13">
        <v>4629</v>
      </c>
      <c r="F80" s="13">
        <v>2995</v>
      </c>
      <c r="G80" s="13">
        <v>2743</v>
      </c>
      <c r="H80" s="13">
        <v>1651</v>
      </c>
      <c r="I80" s="13">
        <v>1597</v>
      </c>
      <c r="J80" s="13">
        <v>1113</v>
      </c>
      <c r="K80" s="13">
        <v>1312</v>
      </c>
      <c r="L80" s="13">
        <v>2306</v>
      </c>
      <c r="M80" s="13">
        <v>3498</v>
      </c>
      <c r="N80" s="13">
        <v>4334</v>
      </c>
      <c r="O80" s="27">
        <f t="shared" si="16"/>
        <v>1.2389937106918238</v>
      </c>
      <c r="Q80" s="26">
        <f t="shared" si="14"/>
        <v>3125.6666666666665</v>
      </c>
    </row>
    <row r="81" spans="1:14" x14ac:dyDescent="0.25">
      <c r="A81" s="71"/>
      <c r="B81" s="72" t="s">
        <v>20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71"/>
      <c r="B82" s="2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1"/>
    </row>
    <row r="83" spans="1:14" x14ac:dyDescent="0.25">
      <c r="A83" s="68" t="s">
        <v>18</v>
      </c>
      <c r="B83" s="69"/>
      <c r="C83" s="14">
        <f t="shared" ref="C83:N83" si="17">SUM(C77:C80,C82)</f>
        <v>6156</v>
      </c>
      <c r="D83" s="14">
        <f t="shared" si="17"/>
        <v>5352</v>
      </c>
      <c r="E83" s="14">
        <f>SUM(E77:E80,E82)</f>
        <v>4679</v>
      </c>
      <c r="F83" s="14">
        <f t="shared" si="17"/>
        <v>2995</v>
      </c>
      <c r="G83" s="14">
        <f>SUM(G77:G80,G82)</f>
        <v>2743</v>
      </c>
      <c r="H83" s="14">
        <f t="shared" si="17"/>
        <v>1651</v>
      </c>
      <c r="I83" s="14">
        <f>SUM(I77:I80,I82)</f>
        <v>1617</v>
      </c>
      <c r="J83" s="14">
        <f>SUM(J77:J80,J82)</f>
        <v>1123</v>
      </c>
      <c r="K83" s="14">
        <f t="shared" si="17"/>
        <v>1312</v>
      </c>
      <c r="L83" s="14">
        <f t="shared" si="17"/>
        <v>2316</v>
      </c>
      <c r="M83" s="14">
        <f t="shared" si="17"/>
        <v>3560</v>
      </c>
      <c r="N83" s="14">
        <f t="shared" si="17"/>
        <v>5329</v>
      </c>
    </row>
    <row r="84" spans="1:14" x14ac:dyDescent="0.25">
      <c r="A84" s="70" t="s">
        <v>39</v>
      </c>
      <c r="B84" s="72" t="s">
        <v>19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71"/>
      <c r="B85" s="20" t="s">
        <v>14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1"/>
    </row>
    <row r="86" spans="1:14" x14ac:dyDescent="0.25">
      <c r="A86" s="71"/>
      <c r="B86" s="20" t="s">
        <v>15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1"/>
    </row>
    <row r="87" spans="1:14" x14ac:dyDescent="0.25">
      <c r="A87" s="71"/>
      <c r="B87" s="20" t="s">
        <v>16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1"/>
    </row>
    <row r="88" spans="1:14" x14ac:dyDescent="0.25">
      <c r="A88" s="71"/>
      <c r="B88" s="20" t="s">
        <v>17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21"/>
      <c r="N88" s="21"/>
    </row>
    <row r="89" spans="1:14" x14ac:dyDescent="0.25">
      <c r="A89" s="71"/>
      <c r="B89" s="72" t="s">
        <v>20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4"/>
    </row>
    <row r="90" spans="1:14" x14ac:dyDescent="0.25">
      <c r="A90" s="71"/>
      <c r="B90" s="2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1"/>
    </row>
    <row r="91" spans="1:14" x14ac:dyDescent="0.25">
      <c r="A91" s="68" t="s">
        <v>18</v>
      </c>
      <c r="B91" s="69"/>
      <c r="C91" s="14">
        <f t="shared" ref="C91:N91" si="18">SUM(C85:C88,C90)</f>
        <v>0</v>
      </c>
      <c r="D91" s="14">
        <f t="shared" si="18"/>
        <v>0</v>
      </c>
      <c r="E91" s="14">
        <f t="shared" si="18"/>
        <v>0</v>
      </c>
      <c r="F91" s="14">
        <f t="shared" si="18"/>
        <v>0</v>
      </c>
      <c r="G91" s="14">
        <f t="shared" si="18"/>
        <v>0</v>
      </c>
      <c r="H91" s="14">
        <f t="shared" si="18"/>
        <v>0</v>
      </c>
      <c r="I91" s="14">
        <f t="shared" si="18"/>
        <v>0</v>
      </c>
      <c r="J91" s="14">
        <f t="shared" si="18"/>
        <v>0</v>
      </c>
      <c r="K91" s="14">
        <f t="shared" si="18"/>
        <v>0</v>
      </c>
      <c r="L91" s="14">
        <f t="shared" si="18"/>
        <v>0</v>
      </c>
      <c r="M91" s="14">
        <f t="shared" si="18"/>
        <v>0</v>
      </c>
      <c r="N91" s="14">
        <f t="shared" si="18"/>
        <v>0</v>
      </c>
    </row>
    <row r="92" spans="1:14" x14ac:dyDescent="0.25">
      <c r="C92" s="23"/>
      <c r="D92" s="23"/>
      <c r="E92" s="23"/>
      <c r="H92" s="23"/>
      <c r="I92" s="23"/>
    </row>
    <row r="93" spans="1:14" x14ac:dyDescent="0.25">
      <c r="C93" s="23"/>
      <c r="D93" s="23"/>
      <c r="E93" s="23"/>
      <c r="F93" s="23"/>
      <c r="G93" s="23"/>
      <c r="J93" s="25"/>
    </row>
    <row r="94" spans="1:14" x14ac:dyDescent="0.25">
      <c r="E94" s="23"/>
      <c r="G94" s="23"/>
      <c r="H94" s="23"/>
      <c r="I94" s="23"/>
      <c r="J94" s="25"/>
      <c r="K94" s="23"/>
      <c r="L94" s="23"/>
      <c r="M94" s="23"/>
    </row>
    <row r="95" spans="1:14" x14ac:dyDescent="0.25">
      <c r="G95" s="23"/>
      <c r="H95" s="23"/>
      <c r="I95" s="23"/>
      <c r="J95" s="25"/>
      <c r="K95" s="23"/>
      <c r="M95" s="26"/>
      <c r="N95" s="26"/>
    </row>
    <row r="96" spans="1:14" x14ac:dyDescent="0.25">
      <c r="C96" s="23"/>
      <c r="D96" s="23"/>
      <c r="E96" s="23"/>
      <c r="I96" s="23"/>
      <c r="J96" s="25"/>
      <c r="M96" s="26"/>
      <c r="N96" s="27"/>
    </row>
    <row r="97" spans="3:14" x14ac:dyDescent="0.25">
      <c r="C97" s="23"/>
      <c r="D97" s="23"/>
      <c r="E97" s="23"/>
      <c r="I97" s="23"/>
      <c r="L97" s="23"/>
      <c r="M97" s="26"/>
      <c r="N97" s="26"/>
    </row>
    <row r="98" spans="3:14" x14ac:dyDescent="0.25">
      <c r="C98" s="28"/>
      <c r="D98" s="29"/>
      <c r="E98" s="29"/>
      <c r="M98" s="27"/>
      <c r="N98" s="27"/>
    </row>
    <row r="99" spans="3:14" x14ac:dyDescent="0.25">
      <c r="C99" s="29"/>
      <c r="D99" s="29"/>
      <c r="E99" s="29"/>
      <c r="M99" s="26"/>
      <c r="N99" s="27"/>
    </row>
    <row r="100" spans="3:14" x14ac:dyDescent="0.25">
      <c r="C100" s="29"/>
      <c r="D100" s="29"/>
      <c r="E100" s="29"/>
    </row>
    <row r="101" spans="3:14" x14ac:dyDescent="0.25">
      <c r="C101" s="24"/>
      <c r="D101" s="24"/>
      <c r="E101" s="24"/>
    </row>
  </sheetData>
  <mergeCells count="45">
    <mergeCell ref="A83:B83"/>
    <mergeCell ref="A84:A90"/>
    <mergeCell ref="B84:N84"/>
    <mergeCell ref="B89:N89"/>
    <mergeCell ref="A91:B91"/>
    <mergeCell ref="A76:A82"/>
    <mergeCell ref="B76:N76"/>
    <mergeCell ref="B81:N81"/>
    <mergeCell ref="A51:B51"/>
    <mergeCell ref="A52:A58"/>
    <mergeCell ref="B52:N52"/>
    <mergeCell ref="B57:N57"/>
    <mergeCell ref="A59:B59"/>
    <mergeCell ref="A60:A66"/>
    <mergeCell ref="B60:N60"/>
    <mergeCell ref="B65:N65"/>
    <mergeCell ref="A67:B67"/>
    <mergeCell ref="A68:A74"/>
    <mergeCell ref="B68:N68"/>
    <mergeCell ref="B73:N73"/>
    <mergeCell ref="A75:B75"/>
    <mergeCell ref="A44:A50"/>
    <mergeCell ref="B44:N44"/>
    <mergeCell ref="B49:N49"/>
    <mergeCell ref="A19:B19"/>
    <mergeCell ref="A20:A26"/>
    <mergeCell ref="B20:N20"/>
    <mergeCell ref="B25:N25"/>
    <mergeCell ref="A27:B27"/>
    <mergeCell ref="A28:A34"/>
    <mergeCell ref="B28:N28"/>
    <mergeCell ref="B33:N33"/>
    <mergeCell ref="A35:B35"/>
    <mergeCell ref="A36:A42"/>
    <mergeCell ref="B36:N36"/>
    <mergeCell ref="B41:N41"/>
    <mergeCell ref="A43:B43"/>
    <mergeCell ref="A12:A18"/>
    <mergeCell ref="B12:N12"/>
    <mergeCell ref="B17:N17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zoomScale="75" zoomScaleNormal="75" workbookViewId="0">
      <selection activeCell="W68" sqref="W68:W69"/>
    </sheetView>
  </sheetViews>
  <sheetFormatPr defaultRowHeight="15" x14ac:dyDescent="0.25"/>
  <cols>
    <col min="1" max="1" width="21" style="42" customWidth="1"/>
    <col min="2" max="2" width="10.28515625" style="42" customWidth="1"/>
    <col min="3" max="3" width="17.42578125" style="42" customWidth="1"/>
    <col min="4" max="5" width="14.7109375" style="42" customWidth="1"/>
    <col min="6" max="6" width="16" style="42" customWidth="1"/>
    <col min="7" max="7" width="16" style="42" hidden="1" customWidth="1"/>
    <col min="8" max="8" width="14.5703125" style="42" customWidth="1"/>
    <col min="9" max="9" width="14.5703125" style="42" hidden="1" customWidth="1"/>
    <col min="10" max="10" width="16.140625" style="42" customWidth="1"/>
    <col min="11" max="11" width="16.140625" style="42" hidden="1" customWidth="1"/>
    <col min="12" max="12" width="16.7109375" style="42" customWidth="1"/>
    <col min="13" max="13" width="16.7109375" style="42" hidden="1" customWidth="1"/>
    <col min="14" max="14" width="19.28515625" customWidth="1"/>
    <col min="15" max="15" width="19.28515625" hidden="1" customWidth="1"/>
    <col min="16" max="16" width="16.5703125" customWidth="1"/>
    <col min="17" max="17" width="16.5703125" hidden="1" customWidth="1"/>
    <col min="18" max="18" width="18.28515625" customWidth="1"/>
    <col min="19" max="19" width="18.28515625" hidden="1" customWidth="1"/>
    <col min="20" max="20" width="15.5703125" customWidth="1"/>
    <col min="21" max="21" width="15.5703125" hidden="1" customWidth="1"/>
    <col min="22" max="22" width="17.5703125" customWidth="1"/>
    <col min="23" max="23" width="13.85546875" style="27" bestFit="1" customWidth="1"/>
    <col min="24" max="24" width="11.42578125" bestFit="1" customWidth="1"/>
    <col min="25" max="25" width="11.28515625" customWidth="1"/>
  </cols>
  <sheetData>
    <row r="1" spans="1:2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6"/>
      <c r="O1" s="16"/>
      <c r="P1" s="16"/>
      <c r="Q1" s="16"/>
      <c r="R1" s="16"/>
      <c r="S1" s="16"/>
      <c r="T1" s="16"/>
      <c r="U1" s="16"/>
      <c r="V1" s="16"/>
    </row>
    <row r="2" spans="1:25" x14ac:dyDescent="0.25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5" ht="42.75" x14ac:dyDescent="0.25">
      <c r="A3" s="32" t="s">
        <v>0</v>
      </c>
      <c r="B3" s="33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 t="s">
        <v>6</v>
      </c>
      <c r="I3" s="34"/>
      <c r="J3" s="34" t="s">
        <v>7</v>
      </c>
      <c r="K3" s="34"/>
      <c r="L3" s="34" t="s">
        <v>8</v>
      </c>
      <c r="M3" s="34"/>
      <c r="N3" s="12" t="s">
        <v>9</v>
      </c>
      <c r="O3" s="12"/>
      <c r="P3" s="12" t="s">
        <v>10</v>
      </c>
      <c r="Q3" s="12"/>
      <c r="R3" s="12" t="s">
        <v>11</v>
      </c>
      <c r="S3" s="12"/>
      <c r="T3" s="12" t="s">
        <v>12</v>
      </c>
      <c r="U3" s="12"/>
      <c r="V3" s="12" t="s">
        <v>13</v>
      </c>
    </row>
    <row r="4" spans="1:25" x14ac:dyDescent="0.25">
      <c r="A4" s="78" t="s">
        <v>47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</row>
    <row r="5" spans="1:25" x14ac:dyDescent="0.25">
      <c r="A5" s="79"/>
      <c r="B5" s="35" t="s">
        <v>14</v>
      </c>
      <c r="C5" s="36">
        <v>107995502</v>
      </c>
      <c r="D5" s="36">
        <v>98678879</v>
      </c>
      <c r="E5" s="36">
        <v>102890510</v>
      </c>
      <c r="F5" s="36">
        <v>90385687</v>
      </c>
      <c r="G5" s="36">
        <v>1.0211322055741565</v>
      </c>
      <c r="H5" s="36">
        <v>89509513</v>
      </c>
      <c r="I5" s="36">
        <v>0.91773030093230146</v>
      </c>
      <c r="J5" s="36">
        <v>85072157</v>
      </c>
      <c r="K5" s="36">
        <v>1.0286323199828884</v>
      </c>
      <c r="L5" s="36">
        <v>85976530</v>
      </c>
      <c r="M5" s="36">
        <v>1.0205662162186875</v>
      </c>
      <c r="N5" s="13">
        <v>87329824</v>
      </c>
      <c r="O5" s="13">
        <v>0.99210071907178521</v>
      </c>
      <c r="P5" s="13">
        <v>85871749</v>
      </c>
      <c r="Q5" s="13">
        <v>1.1346941144698457</v>
      </c>
      <c r="R5" s="13">
        <v>96122048.00000003</v>
      </c>
      <c r="S5" s="13">
        <v>1.0646241878090714</v>
      </c>
      <c r="T5" s="13">
        <v>100145890</v>
      </c>
      <c r="U5" s="13">
        <v>0.99067621766476155</v>
      </c>
      <c r="V5" s="13">
        <v>107757556</v>
      </c>
      <c r="W5" s="27">
        <f>'2021'!C5/'2020'!V5</f>
        <v>1.0452021573317791</v>
      </c>
      <c r="Y5" s="23"/>
    </row>
    <row r="6" spans="1:25" x14ac:dyDescent="0.25">
      <c r="A6" s="79"/>
      <c r="B6" s="35" t="s">
        <v>15</v>
      </c>
      <c r="C6" s="36">
        <v>23364317</v>
      </c>
      <c r="D6" s="36">
        <v>21368702</v>
      </c>
      <c r="E6" s="36">
        <v>23398306</v>
      </c>
      <c r="F6" s="36">
        <v>18861827</v>
      </c>
      <c r="G6" s="36">
        <v>1.0288987241540519</v>
      </c>
      <c r="H6" s="36">
        <v>15796007</v>
      </c>
      <c r="I6" s="36">
        <v>0.9110376075262544</v>
      </c>
      <c r="J6" s="36">
        <v>15882731</v>
      </c>
      <c r="K6" s="36">
        <v>1.0529401229763971</v>
      </c>
      <c r="L6" s="36">
        <v>17469053</v>
      </c>
      <c r="M6" s="36">
        <v>1.0489326966328663</v>
      </c>
      <c r="N6" s="13">
        <v>17982179</v>
      </c>
      <c r="O6" s="13">
        <v>0.94996101853664172</v>
      </c>
      <c r="P6" s="13">
        <v>17753621</v>
      </c>
      <c r="Q6" s="13">
        <v>1.0912883766034827</v>
      </c>
      <c r="R6" s="13">
        <v>19966456</v>
      </c>
      <c r="S6" s="13">
        <v>1.148175822485942</v>
      </c>
      <c r="T6" s="13">
        <v>21960949</v>
      </c>
      <c r="U6" s="13">
        <v>1.0219991849112513</v>
      </c>
      <c r="V6" s="13">
        <v>24136710</v>
      </c>
      <c r="W6" s="27">
        <f>'2021'!C6/'2020'!V6</f>
        <v>1.0182482616727797</v>
      </c>
      <c r="Y6" s="23"/>
    </row>
    <row r="7" spans="1:25" x14ac:dyDescent="0.25">
      <c r="A7" s="79"/>
      <c r="B7" s="35" t="s">
        <v>16</v>
      </c>
      <c r="C7" s="36">
        <v>892681</v>
      </c>
      <c r="D7" s="36">
        <v>737612</v>
      </c>
      <c r="E7" s="36">
        <v>649565</v>
      </c>
      <c r="F7" s="36">
        <v>478781</v>
      </c>
      <c r="G7" s="36">
        <v>1.0760957450466742</v>
      </c>
      <c r="H7" s="36">
        <v>551515</v>
      </c>
      <c r="I7" s="36">
        <v>0.83051030775785784</v>
      </c>
      <c r="J7" s="36">
        <v>685055</v>
      </c>
      <c r="K7" s="36">
        <v>0.38271763280543969</v>
      </c>
      <c r="L7" s="36">
        <v>785511</v>
      </c>
      <c r="M7" s="36">
        <v>1.2172082759758505</v>
      </c>
      <c r="N7" s="13">
        <v>929942</v>
      </c>
      <c r="O7" s="13">
        <v>0.86536828350385553</v>
      </c>
      <c r="P7" s="13">
        <v>582497</v>
      </c>
      <c r="Q7" s="13">
        <v>1.0713203640662055</v>
      </c>
      <c r="R7" s="13">
        <v>580204</v>
      </c>
      <c r="S7" s="13">
        <v>1.7324288576330271</v>
      </c>
      <c r="T7" s="13">
        <v>692735</v>
      </c>
      <c r="U7" s="13">
        <v>1.4197020184105626</v>
      </c>
      <c r="V7" s="13">
        <v>1350298</v>
      </c>
      <c r="W7" s="27">
        <f>'2021'!C7/'2020'!V7</f>
        <v>1.0319144366650916</v>
      </c>
      <c r="Y7" s="23"/>
    </row>
    <row r="8" spans="1:25" x14ac:dyDescent="0.25">
      <c r="A8" s="79"/>
      <c r="B8" s="35" t="s">
        <v>17</v>
      </c>
      <c r="C8" s="36">
        <v>1920</v>
      </c>
      <c r="D8" s="36">
        <v>1732</v>
      </c>
      <c r="E8" s="36">
        <v>1147</v>
      </c>
      <c r="F8" s="36">
        <v>677</v>
      </c>
      <c r="G8" s="36">
        <v>0.60241874527588812</v>
      </c>
      <c r="H8" s="36">
        <v>174</v>
      </c>
      <c r="I8" s="36">
        <v>0.59222082810539523</v>
      </c>
      <c r="J8" s="36">
        <v>182</v>
      </c>
      <c r="K8" s="36">
        <v>0.93432203389830504</v>
      </c>
      <c r="L8" s="36">
        <v>152</v>
      </c>
      <c r="M8" s="36">
        <v>1.5827664399092971</v>
      </c>
      <c r="N8" s="13">
        <v>218</v>
      </c>
      <c r="O8" s="13">
        <v>2.6260744985673354</v>
      </c>
      <c r="P8" s="13">
        <v>517</v>
      </c>
      <c r="Q8" s="13">
        <v>0.51118385160938351</v>
      </c>
      <c r="R8" s="13">
        <v>909</v>
      </c>
      <c r="S8" s="13">
        <v>2.3116328708644609</v>
      </c>
      <c r="T8" s="13">
        <v>1427</v>
      </c>
      <c r="U8" s="13">
        <v>1.0387811634349031</v>
      </c>
      <c r="V8" s="13">
        <v>1426</v>
      </c>
      <c r="W8" s="27">
        <f>'2021'!C8/'2020'!V8</f>
        <v>1.7244039270687237</v>
      </c>
      <c r="Y8" s="23"/>
    </row>
    <row r="9" spans="1:25" x14ac:dyDescent="0.25">
      <c r="A9" s="79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Y9" s="23"/>
    </row>
    <row r="10" spans="1:25" x14ac:dyDescent="0.25">
      <c r="A10" s="79"/>
      <c r="B10" s="35" t="s">
        <v>14</v>
      </c>
      <c r="C10" s="36">
        <v>9972</v>
      </c>
      <c r="D10" s="36">
        <v>12412</v>
      </c>
      <c r="E10" s="36">
        <v>11356</v>
      </c>
      <c r="F10" s="36">
        <v>6915</v>
      </c>
      <c r="G10" s="36">
        <v>0.86286333762450029</v>
      </c>
      <c r="H10" s="36">
        <v>5820</v>
      </c>
      <c r="I10" s="36">
        <f>H10/F10</f>
        <v>0.84164859002169201</v>
      </c>
      <c r="J10" s="36">
        <v>4144</v>
      </c>
      <c r="K10" s="36">
        <v>1.0811382257069861</v>
      </c>
      <c r="L10" s="36">
        <v>2963</v>
      </c>
      <c r="M10" s="36">
        <f>L10/J10</f>
        <v>0.71500965250965254</v>
      </c>
      <c r="N10" s="13">
        <v>3315</v>
      </c>
      <c r="O10" s="13">
        <f>N10/L10</f>
        <v>1.1187985150185622</v>
      </c>
      <c r="P10" s="13">
        <v>4618</v>
      </c>
      <c r="Q10" s="13">
        <f>P10/N10</f>
        <v>1.3930618401206636</v>
      </c>
      <c r="R10" s="13">
        <v>4627</v>
      </c>
      <c r="S10" s="13">
        <f>R10/P10</f>
        <v>1.001948895625812</v>
      </c>
      <c r="T10" s="13">
        <v>4193</v>
      </c>
      <c r="U10" s="13">
        <f>T10/R10</f>
        <v>0.90620272314674732</v>
      </c>
      <c r="V10" s="13">
        <v>5811</v>
      </c>
      <c r="W10" s="27">
        <f>'2021'!C10/'2020'!V10</f>
        <v>0.94458785062811912</v>
      </c>
      <c r="Y10" s="23"/>
    </row>
    <row r="11" spans="1:25" x14ac:dyDescent="0.25">
      <c r="A11" s="37"/>
      <c r="B11" s="35" t="s">
        <v>15</v>
      </c>
      <c r="C11" s="36">
        <v>2680</v>
      </c>
      <c r="D11" s="36">
        <v>2280</v>
      </c>
      <c r="E11" s="36">
        <v>2400</v>
      </c>
      <c r="F11" s="36">
        <v>2240</v>
      </c>
      <c r="G11" s="36"/>
      <c r="H11" s="36">
        <v>2320</v>
      </c>
      <c r="I11" s="36">
        <f>H11/F11</f>
        <v>1.0357142857142858</v>
      </c>
      <c r="J11" s="36">
        <v>1880</v>
      </c>
      <c r="K11" s="36">
        <v>1.0811382257069861</v>
      </c>
      <c r="L11" s="36">
        <v>2000</v>
      </c>
      <c r="M11" s="36">
        <f>L11/J11</f>
        <v>1.0638297872340425</v>
      </c>
      <c r="N11" s="13">
        <v>1920</v>
      </c>
      <c r="O11" s="13">
        <f>N11/L11</f>
        <v>0.96</v>
      </c>
      <c r="P11" s="13">
        <v>2160</v>
      </c>
      <c r="Q11" s="13">
        <f>P11/N11</f>
        <v>1.125</v>
      </c>
      <c r="R11" s="13">
        <v>2240</v>
      </c>
      <c r="S11" s="13">
        <f t="shared" ref="S11:S13" si="0">R11/P11</f>
        <v>1.037037037037037</v>
      </c>
      <c r="T11" s="13">
        <v>2200</v>
      </c>
      <c r="U11" s="13">
        <f t="shared" ref="U11:U13" si="1">T11/R11</f>
        <v>0.9821428571428571</v>
      </c>
      <c r="V11" s="13">
        <v>2280</v>
      </c>
      <c r="W11" s="27">
        <f>'2021'!C11/'2020'!V11</f>
        <v>0.85964912280701755</v>
      </c>
      <c r="Y11" s="23"/>
    </row>
    <row r="12" spans="1:25" x14ac:dyDescent="0.25">
      <c r="A12" s="45"/>
      <c r="B12" s="35" t="s">
        <v>46</v>
      </c>
      <c r="C12" s="36"/>
      <c r="D12" s="36"/>
      <c r="E12" s="36"/>
      <c r="F12" s="36"/>
      <c r="G12" s="36"/>
      <c r="H12" s="36"/>
      <c r="I12" s="36"/>
      <c r="J12" s="36"/>
      <c r="K12" s="36"/>
      <c r="L12" s="36">
        <v>0</v>
      </c>
      <c r="M12" s="36"/>
      <c r="N12" s="13">
        <v>0</v>
      </c>
      <c r="O12" s="13"/>
      <c r="P12" s="13">
        <v>0</v>
      </c>
      <c r="Q12" s="13"/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27" t="e">
        <f>'2021'!C12/'2020'!V12</f>
        <v>#DIV/0!</v>
      </c>
      <c r="Y12" s="23"/>
    </row>
    <row r="13" spans="1:25" x14ac:dyDescent="0.25">
      <c r="A13" s="45"/>
      <c r="B13" s="35" t="s">
        <v>17</v>
      </c>
      <c r="C13" s="36">
        <v>1098</v>
      </c>
      <c r="D13" s="36">
        <v>1004</v>
      </c>
      <c r="E13" s="36">
        <v>663</v>
      </c>
      <c r="F13" s="36">
        <v>1454</v>
      </c>
      <c r="G13" s="36"/>
      <c r="H13" s="36">
        <v>1105</v>
      </c>
      <c r="I13" s="36"/>
      <c r="J13" s="36">
        <v>933</v>
      </c>
      <c r="K13" s="36">
        <v>1.0811382257069861</v>
      </c>
      <c r="L13" s="36">
        <v>933</v>
      </c>
      <c r="M13" s="36">
        <f>L13/J13</f>
        <v>1</v>
      </c>
      <c r="N13" s="13">
        <v>858</v>
      </c>
      <c r="O13" s="13">
        <f>N13/L13</f>
        <v>0.91961414790996787</v>
      </c>
      <c r="P13" s="13">
        <v>880</v>
      </c>
      <c r="Q13" s="13">
        <f>P13/N13</f>
        <v>1.0256410256410255</v>
      </c>
      <c r="R13" s="13">
        <v>907</v>
      </c>
      <c r="S13" s="13">
        <f t="shared" si="0"/>
        <v>1.0306818181818183</v>
      </c>
      <c r="T13" s="13">
        <v>908</v>
      </c>
      <c r="U13" s="13">
        <f t="shared" si="1"/>
        <v>1.0011025358324146</v>
      </c>
      <c r="V13" s="13">
        <v>738</v>
      </c>
      <c r="W13" s="27">
        <f>'2021'!C13/'2020'!V13</f>
        <v>0</v>
      </c>
      <c r="Y13" s="23"/>
    </row>
    <row r="14" spans="1:25" x14ac:dyDescent="0.25">
      <c r="A14" s="76" t="s">
        <v>18</v>
      </c>
      <c r="B14" s="77"/>
      <c r="C14" s="38">
        <f>SUM(C5:C8,C10:C13)</f>
        <v>132268170</v>
      </c>
      <c r="D14" s="38">
        <f t="shared" ref="D14:V14" si="2">SUM(D5:D8,D10:D13)</f>
        <v>120802621</v>
      </c>
      <c r="E14" s="38">
        <f t="shared" si="2"/>
        <v>126953947</v>
      </c>
      <c r="F14" s="38">
        <f t="shared" si="2"/>
        <v>109737581</v>
      </c>
      <c r="G14" s="38">
        <f t="shared" si="2"/>
        <v>4.5914087576752713</v>
      </c>
      <c r="H14" s="38">
        <f t="shared" si="2"/>
        <v>105866454</v>
      </c>
      <c r="I14" s="38">
        <f t="shared" si="2"/>
        <v>5.1288619200577861</v>
      </c>
      <c r="J14" s="38">
        <f t="shared" si="2"/>
        <v>101647082</v>
      </c>
      <c r="K14" s="38"/>
      <c r="L14" s="38">
        <f t="shared" si="2"/>
        <v>104237142</v>
      </c>
      <c r="M14" s="38"/>
      <c r="N14" s="38">
        <f t="shared" si="2"/>
        <v>106248256</v>
      </c>
      <c r="O14" s="38"/>
      <c r="P14" s="38">
        <f t="shared" si="2"/>
        <v>104216042</v>
      </c>
      <c r="Q14" s="38"/>
      <c r="R14" s="38">
        <f t="shared" si="2"/>
        <v>116677391.00000003</v>
      </c>
      <c r="S14" s="38"/>
      <c r="T14" s="38">
        <f t="shared" si="2"/>
        <v>122808302</v>
      </c>
      <c r="U14" s="38"/>
      <c r="V14" s="38">
        <f t="shared" si="2"/>
        <v>133254819</v>
      </c>
      <c r="X14" s="23"/>
      <c r="Y14" s="23"/>
    </row>
    <row r="15" spans="1:25" x14ac:dyDescent="0.25">
      <c r="A15" s="78" t="s">
        <v>25</v>
      </c>
      <c r="B15" s="72" t="s">
        <v>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/>
      <c r="Y15" s="23"/>
    </row>
    <row r="16" spans="1:25" x14ac:dyDescent="0.25">
      <c r="A16" s="79"/>
      <c r="B16" s="35" t="s">
        <v>14</v>
      </c>
      <c r="C16" s="36">
        <v>1789737</v>
      </c>
      <c r="D16" s="36">
        <v>1657587</v>
      </c>
      <c r="E16" s="36">
        <v>1709545</v>
      </c>
      <c r="F16" s="36">
        <v>1435959</v>
      </c>
      <c r="G16" s="36">
        <v>0.87815388562814711</v>
      </c>
      <c r="H16" s="36">
        <v>1298713</v>
      </c>
      <c r="I16" s="36">
        <v>0.84873973519318513</v>
      </c>
      <c r="J16" s="36">
        <v>1196883</v>
      </c>
      <c r="K16" s="36">
        <v>1.0474695827520413</v>
      </c>
      <c r="L16" s="36">
        <v>1178289</v>
      </c>
      <c r="M16" s="36">
        <v>1.0218473903501746</v>
      </c>
      <c r="N16" s="13">
        <v>1284012</v>
      </c>
      <c r="O16" s="13">
        <v>1.1303377345579892</v>
      </c>
      <c r="P16" s="13">
        <v>1476767</v>
      </c>
      <c r="Q16" s="13">
        <v>1.2042260233922288</v>
      </c>
      <c r="R16" s="13">
        <v>1757569</v>
      </c>
      <c r="S16" s="13">
        <v>1.0949168862162257</v>
      </c>
      <c r="T16" s="13">
        <v>1677320</v>
      </c>
      <c r="U16" s="13">
        <v>1.0118702526677317</v>
      </c>
      <c r="V16" s="13">
        <v>1931160</v>
      </c>
      <c r="W16" s="27">
        <f>'2021'!C16/'2020'!V16</f>
        <v>1.0399096915843327</v>
      </c>
      <c r="Y16" s="23"/>
    </row>
    <row r="17" spans="1:25" x14ac:dyDescent="0.25">
      <c r="A17" s="79"/>
      <c r="B17" s="35" t="s">
        <v>15</v>
      </c>
      <c r="C17" s="36">
        <v>294306</v>
      </c>
      <c r="D17" s="36">
        <v>221850</v>
      </c>
      <c r="E17" s="36">
        <v>215707</v>
      </c>
      <c r="F17" s="36">
        <v>140158</v>
      </c>
      <c r="G17" s="36">
        <v>0.73954661518340914</v>
      </c>
      <c r="H17" s="36">
        <v>87923</v>
      </c>
      <c r="I17" s="36">
        <v>0.62088943906896055</v>
      </c>
      <c r="J17" s="36">
        <v>62114</v>
      </c>
      <c r="K17" s="36">
        <v>0.99191645191916455</v>
      </c>
      <c r="L17" s="36">
        <v>63653</v>
      </c>
      <c r="M17" s="36">
        <v>1.0946755271146116</v>
      </c>
      <c r="N17" s="13">
        <v>88672</v>
      </c>
      <c r="O17" s="13">
        <v>1.2407129830872616</v>
      </c>
      <c r="P17" s="13">
        <v>103789</v>
      </c>
      <c r="Q17" s="13">
        <v>1.5729041870954101</v>
      </c>
      <c r="R17" s="13">
        <v>149353</v>
      </c>
      <c r="S17" s="13">
        <v>1.6458283995263547</v>
      </c>
      <c r="T17" s="13">
        <v>192311</v>
      </c>
      <c r="U17" s="13">
        <v>1.1872316595109202</v>
      </c>
      <c r="V17" s="13">
        <v>278950</v>
      </c>
      <c r="W17" s="27">
        <f>'2021'!C17/'2020'!V17</f>
        <v>1.0740921312063094</v>
      </c>
      <c r="Y17" s="23"/>
    </row>
    <row r="18" spans="1:25" x14ac:dyDescent="0.25">
      <c r="A18" s="79"/>
      <c r="B18" s="35" t="s">
        <v>16</v>
      </c>
      <c r="C18" s="36">
        <v>2374878</v>
      </c>
      <c r="D18" s="36">
        <v>2137029</v>
      </c>
      <c r="E18" s="36">
        <v>2065730</v>
      </c>
      <c r="F18" s="36">
        <v>1629015.9999999998</v>
      </c>
      <c r="G18" s="36">
        <v>0.9382169652570207</v>
      </c>
      <c r="H18" s="36">
        <v>1416183</v>
      </c>
      <c r="I18" s="36">
        <v>0.89103687178705537</v>
      </c>
      <c r="J18" s="36">
        <v>1415844</v>
      </c>
      <c r="K18" s="36">
        <v>1.0366383828129715</v>
      </c>
      <c r="L18" s="36">
        <v>1442938.0000000002</v>
      </c>
      <c r="M18" s="36">
        <v>1.0239647363506972</v>
      </c>
      <c r="N18" s="13">
        <v>1414432</v>
      </c>
      <c r="O18" s="13">
        <v>1.0344863958932768</v>
      </c>
      <c r="P18" s="13">
        <v>1568001.0000000002</v>
      </c>
      <c r="Q18" s="13">
        <v>1.1979726055332744</v>
      </c>
      <c r="R18" s="13">
        <v>1809502</v>
      </c>
      <c r="S18" s="13">
        <v>1.1341475928040647</v>
      </c>
      <c r="T18" s="13">
        <v>1966019</v>
      </c>
      <c r="U18" s="13">
        <v>1.0687200047029375</v>
      </c>
      <c r="V18" s="13">
        <v>2393958</v>
      </c>
      <c r="W18" s="27">
        <f>'2021'!C18/'2020'!V18</f>
        <v>0.9658740880165817</v>
      </c>
      <c r="Y18" s="23"/>
    </row>
    <row r="19" spans="1:25" x14ac:dyDescent="0.25">
      <c r="A19" s="79"/>
      <c r="B19" s="35" t="s">
        <v>17</v>
      </c>
      <c r="C19" s="36">
        <v>567898</v>
      </c>
      <c r="D19" s="36">
        <v>515076</v>
      </c>
      <c r="E19" s="36">
        <v>484692.00000000006</v>
      </c>
      <c r="F19" s="36">
        <v>379258.00000000006</v>
      </c>
      <c r="G19" s="36">
        <v>0.88120082372126796</v>
      </c>
      <c r="H19" s="36">
        <v>316207</v>
      </c>
      <c r="I19" s="36">
        <v>0.87972248638367767</v>
      </c>
      <c r="J19" s="36">
        <v>310318</v>
      </c>
      <c r="K19" s="36">
        <v>1.0688094243667543</v>
      </c>
      <c r="L19" s="36">
        <v>316331</v>
      </c>
      <c r="M19" s="36">
        <v>1.0182541734907911</v>
      </c>
      <c r="N19" s="13">
        <v>313092</v>
      </c>
      <c r="O19" s="13">
        <v>1.0288275679138108</v>
      </c>
      <c r="P19" s="13">
        <v>348226</v>
      </c>
      <c r="Q19" s="13">
        <v>1.2133933444688547</v>
      </c>
      <c r="R19" s="13">
        <v>425260.99999999994</v>
      </c>
      <c r="S19" s="13">
        <v>1.2145537316739075</v>
      </c>
      <c r="T19" s="13">
        <v>469529.99999999994</v>
      </c>
      <c r="U19" s="13">
        <v>1.0240824386167673</v>
      </c>
      <c r="V19" s="13">
        <v>568214</v>
      </c>
      <c r="W19" s="27">
        <f>'2021'!C19/'2020'!V19</f>
        <v>1.0559225925443583</v>
      </c>
      <c r="Y19" s="23"/>
    </row>
    <row r="20" spans="1:25" x14ac:dyDescent="0.25">
      <c r="A20" s="79"/>
      <c r="B20" s="72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Y20" s="23"/>
    </row>
    <row r="21" spans="1:25" x14ac:dyDescent="0.25">
      <c r="A21" s="80"/>
      <c r="B21" s="39" t="s">
        <v>16</v>
      </c>
      <c r="C21" s="36">
        <v>473417.00000000006</v>
      </c>
      <c r="D21" s="36">
        <v>399950</v>
      </c>
      <c r="E21" s="36">
        <v>347721</v>
      </c>
      <c r="F21" s="36">
        <v>558250</v>
      </c>
      <c r="G21" s="36">
        <v>1.3929769723767513</v>
      </c>
      <c r="H21" s="36">
        <v>1272979</v>
      </c>
      <c r="I21" s="36">
        <f>E21/D21</f>
        <v>0.86941117639704968</v>
      </c>
      <c r="J21" s="36">
        <v>1215734</v>
      </c>
      <c r="K21" s="36">
        <v>1.0178131439309845</v>
      </c>
      <c r="L21" s="36">
        <v>1149813.9999999998</v>
      </c>
      <c r="M21" s="36">
        <f>L21/J21</f>
        <v>0.94577761253695281</v>
      </c>
      <c r="N21" s="13">
        <v>1132807</v>
      </c>
      <c r="O21" s="13">
        <f>N21/L21</f>
        <v>0.98520891205012306</v>
      </c>
      <c r="P21" s="13">
        <v>951257</v>
      </c>
      <c r="Q21" s="13">
        <f>P21/N21</f>
        <v>0.83973439429664543</v>
      </c>
      <c r="R21" s="13">
        <v>513812</v>
      </c>
      <c r="S21" s="13">
        <f>R21/P21</f>
        <v>0.54014004627561218</v>
      </c>
      <c r="T21" s="13">
        <v>362448</v>
      </c>
      <c r="U21" s="13">
        <f t="shared" ref="U21:U22" si="3">T21/R21</f>
        <v>0.70540976076853013</v>
      </c>
      <c r="V21" s="13">
        <v>421283</v>
      </c>
      <c r="W21" s="27">
        <f>'2021'!C21/'2020'!V21</f>
        <v>1.1435234747188945</v>
      </c>
      <c r="Y21" s="23"/>
    </row>
    <row r="22" spans="1:25" x14ac:dyDescent="0.25">
      <c r="A22" s="37"/>
      <c r="B22" s="39" t="s">
        <v>17</v>
      </c>
      <c r="C22" s="36">
        <v>1747235.0000000002</v>
      </c>
      <c r="D22" s="36">
        <v>1521080</v>
      </c>
      <c r="E22" s="36">
        <v>1108381</v>
      </c>
      <c r="F22" s="36">
        <v>1071251</v>
      </c>
      <c r="G22" s="36"/>
      <c r="H22" s="36">
        <v>1013130</v>
      </c>
      <c r="I22" s="36">
        <f>E22/D22</f>
        <v>0.72868027980119388</v>
      </c>
      <c r="J22" s="36">
        <v>973625.00000000012</v>
      </c>
      <c r="K22" s="36">
        <v>1.0178131439309845</v>
      </c>
      <c r="L22" s="36">
        <v>955708</v>
      </c>
      <c r="M22" s="36">
        <f>L22/J22</f>
        <v>0.98159763769418396</v>
      </c>
      <c r="N22" s="13">
        <v>1010225.9999999999</v>
      </c>
      <c r="O22" s="13">
        <f>N22/L22</f>
        <v>1.0570446203233623</v>
      </c>
      <c r="P22" s="13">
        <v>1101090</v>
      </c>
      <c r="Q22" s="13">
        <f>P22/N22</f>
        <v>1.0899442303009428</v>
      </c>
      <c r="R22" s="13">
        <v>1094199.9999999998</v>
      </c>
      <c r="S22" s="13">
        <f>R22/P22</f>
        <v>0.99374256418639695</v>
      </c>
      <c r="T22" s="13">
        <v>1149831.0000000002</v>
      </c>
      <c r="U22" s="13">
        <f t="shared" si="3"/>
        <v>1.0508417108389696</v>
      </c>
      <c r="V22" s="13">
        <v>1307916</v>
      </c>
      <c r="W22" s="27">
        <f>'2021'!C22/'2020'!V22</f>
        <v>1.1078624315323</v>
      </c>
      <c r="Y22" s="23"/>
    </row>
    <row r="23" spans="1:25" x14ac:dyDescent="0.25">
      <c r="A23" s="76" t="s">
        <v>18</v>
      </c>
      <c r="B23" s="77"/>
      <c r="C23" s="38">
        <f>SUM(C16:C19,C21:C22)</f>
        <v>7247471</v>
      </c>
      <c r="D23" s="38">
        <f t="shared" ref="D23:J23" si="4">SUM(D16:D19,D21:D22)</f>
        <v>6452572</v>
      </c>
      <c r="E23" s="38">
        <f t="shared" si="4"/>
        <v>5931776</v>
      </c>
      <c r="F23" s="38">
        <f t="shared" si="4"/>
        <v>5213892</v>
      </c>
      <c r="G23" s="38"/>
      <c r="H23" s="38">
        <f t="shared" si="4"/>
        <v>5405135</v>
      </c>
      <c r="I23" s="38"/>
      <c r="J23" s="38">
        <f t="shared" si="4"/>
        <v>5174518</v>
      </c>
      <c r="K23" s="38"/>
      <c r="L23" s="38">
        <f>SUM(L16:L19,L21:L22)</f>
        <v>5106733</v>
      </c>
      <c r="M23" s="38"/>
      <c r="N23" s="14">
        <f>SUM(N16:N19,N21:N22)</f>
        <v>5243241</v>
      </c>
      <c r="O23" s="14"/>
      <c r="P23" s="14">
        <f t="shared" ref="P23:V23" si="5">SUM(P16:P19,P21:P22)</f>
        <v>5549130</v>
      </c>
      <c r="Q23" s="14"/>
      <c r="R23" s="14">
        <f t="shared" si="5"/>
        <v>5749697</v>
      </c>
      <c r="S23" s="14"/>
      <c r="T23" s="14">
        <f t="shared" si="5"/>
        <v>5817459</v>
      </c>
      <c r="U23" s="14"/>
      <c r="V23" s="14">
        <f t="shared" si="5"/>
        <v>6901481</v>
      </c>
      <c r="Y23" s="23"/>
    </row>
    <row r="24" spans="1:25" x14ac:dyDescent="0.25">
      <c r="A24" s="78" t="s">
        <v>26</v>
      </c>
      <c r="B24" s="72" t="s">
        <v>19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4"/>
      <c r="Y24" s="23"/>
    </row>
    <row r="25" spans="1:25" x14ac:dyDescent="0.25">
      <c r="A25" s="79"/>
      <c r="B25" s="35" t="s">
        <v>14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13"/>
      <c r="O25" s="13"/>
      <c r="P25" s="13"/>
      <c r="Q25" s="13"/>
      <c r="R25" s="13"/>
      <c r="S25" s="13"/>
      <c r="T25" s="13"/>
      <c r="U25" s="13"/>
      <c r="V25" s="13"/>
      <c r="Y25" s="23"/>
    </row>
    <row r="26" spans="1:25" x14ac:dyDescent="0.25">
      <c r="A26" s="79"/>
      <c r="B26" s="35" t="s">
        <v>15</v>
      </c>
      <c r="C26" s="36">
        <v>6527</v>
      </c>
      <c r="D26" s="36">
        <v>5768</v>
      </c>
      <c r="E26" s="36">
        <v>4691</v>
      </c>
      <c r="F26" s="36">
        <v>3947</v>
      </c>
      <c r="G26" s="36">
        <v>0.72235211596913729</v>
      </c>
      <c r="H26" s="36">
        <v>2817</v>
      </c>
      <c r="I26" s="36">
        <v>0.68522414630199058</v>
      </c>
      <c r="J26" s="36">
        <v>2594</v>
      </c>
      <c r="K26" s="36">
        <v>0.6620217288615966</v>
      </c>
      <c r="L26" s="36">
        <v>1978</v>
      </c>
      <c r="M26" s="36">
        <v>0.83446307527648944</v>
      </c>
      <c r="N26" s="13">
        <v>2232</v>
      </c>
      <c r="O26" s="13">
        <v>1.0085506626763574</v>
      </c>
      <c r="P26" s="13">
        <v>2436</v>
      </c>
      <c r="Q26" s="13">
        <v>0.81814328105129297</v>
      </c>
      <c r="R26" s="13">
        <v>2403</v>
      </c>
      <c r="S26" s="13">
        <v>2.4523316062176161</v>
      </c>
      <c r="T26" s="13">
        <v>3465</v>
      </c>
      <c r="U26" s="13">
        <v>1.4842594548911896</v>
      </c>
      <c r="V26" s="13">
        <v>4559</v>
      </c>
      <c r="W26" s="27">
        <f>'2021'!C26/'2020'!V26</f>
        <v>0.82123272647510415</v>
      </c>
      <c r="X26" s="23"/>
      <c r="Y26" s="23"/>
    </row>
    <row r="27" spans="1:25" x14ac:dyDescent="0.25">
      <c r="A27" s="79"/>
      <c r="B27" s="35" t="s">
        <v>16</v>
      </c>
      <c r="C27" s="36">
        <v>38029</v>
      </c>
      <c r="D27" s="36">
        <v>35149</v>
      </c>
      <c r="E27" s="36">
        <v>40966</v>
      </c>
      <c r="F27" s="36">
        <v>40865</v>
      </c>
      <c r="G27" s="36">
        <v>0.92695344771273225</v>
      </c>
      <c r="H27" s="36">
        <v>32915</v>
      </c>
      <c r="I27" s="36">
        <v>0.98368810495989389</v>
      </c>
      <c r="J27" s="36">
        <v>30340</v>
      </c>
      <c r="K27" s="36">
        <v>0.68898019384745046</v>
      </c>
      <c r="L27" s="36">
        <v>31690</v>
      </c>
      <c r="M27" s="36">
        <v>0.84727361693018144</v>
      </c>
      <c r="N27" s="13">
        <v>32157</v>
      </c>
      <c r="O27" s="13">
        <v>1.1415989893521026</v>
      </c>
      <c r="P27" s="13">
        <v>35021</v>
      </c>
      <c r="Q27" s="13">
        <v>1.1363032755786013</v>
      </c>
      <c r="R27" s="13">
        <v>44032</v>
      </c>
      <c r="S27" s="13">
        <v>0.98987172709312998</v>
      </c>
      <c r="T27" s="13">
        <v>44062</v>
      </c>
      <c r="U27" s="13">
        <v>1.114378074490513</v>
      </c>
      <c r="V27" s="13">
        <v>46281</v>
      </c>
      <c r="W27" s="27">
        <f>'2021'!C27/'2020'!V27</f>
        <v>1.012510533480262</v>
      </c>
      <c r="Y27" s="23"/>
    </row>
    <row r="28" spans="1:25" x14ac:dyDescent="0.25">
      <c r="A28" s="79"/>
      <c r="B28" s="35" t="s">
        <v>17</v>
      </c>
      <c r="C28" s="36">
        <v>186515</v>
      </c>
      <c r="D28" s="36">
        <v>170560</v>
      </c>
      <c r="E28" s="36">
        <v>158782</v>
      </c>
      <c r="F28" s="36">
        <v>109348</v>
      </c>
      <c r="G28" s="36">
        <v>0.80794149078279454</v>
      </c>
      <c r="H28" s="36">
        <v>75488</v>
      </c>
      <c r="I28" s="36">
        <v>0.87368247013598987</v>
      </c>
      <c r="J28" s="36">
        <v>79518</v>
      </c>
      <c r="K28" s="36">
        <v>1.2444528551828546</v>
      </c>
      <c r="L28" s="36">
        <v>83502</v>
      </c>
      <c r="M28" s="36">
        <v>0.89564324817518248</v>
      </c>
      <c r="N28" s="13">
        <v>84189</v>
      </c>
      <c r="O28" s="13">
        <v>0.97182393140625656</v>
      </c>
      <c r="P28" s="13">
        <v>96944</v>
      </c>
      <c r="Q28" s="13">
        <v>1.0365229393060553</v>
      </c>
      <c r="R28" s="13">
        <v>114031</v>
      </c>
      <c r="S28" s="13">
        <v>1.3617738523643779</v>
      </c>
      <c r="T28" s="13">
        <v>135444</v>
      </c>
      <c r="U28" s="13">
        <v>1.0608785523319142</v>
      </c>
      <c r="V28" s="13">
        <v>166424</v>
      </c>
      <c r="W28" s="27">
        <f>'2021'!C28/'2020'!V28</f>
        <v>1.0026799019372206</v>
      </c>
      <c r="Y28" s="23"/>
    </row>
    <row r="29" spans="1:25" x14ac:dyDescent="0.25">
      <c r="A29" s="79"/>
      <c r="B29" s="72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4"/>
      <c r="X29" s="23"/>
      <c r="Y29" s="23"/>
    </row>
    <row r="30" spans="1:25" x14ac:dyDescent="0.25">
      <c r="A30" s="79"/>
      <c r="B30" s="35" t="s">
        <v>16</v>
      </c>
      <c r="C30" s="36">
        <v>16800</v>
      </c>
      <c r="D30" s="36">
        <v>12200</v>
      </c>
      <c r="E30" s="36">
        <v>11600</v>
      </c>
      <c r="F30" s="36">
        <v>10850</v>
      </c>
      <c r="G30" s="36">
        <v>0.98917606761610832</v>
      </c>
      <c r="H30" s="36">
        <v>8550</v>
      </c>
      <c r="I30" s="36">
        <f>E30/D30</f>
        <v>0.95081967213114749</v>
      </c>
      <c r="J30" s="36">
        <v>18950</v>
      </c>
      <c r="K30" s="36">
        <v>0.98064483332697905</v>
      </c>
      <c r="L30" s="36">
        <v>7950</v>
      </c>
      <c r="M30" s="36">
        <f>L30/J30</f>
        <v>0.41952506596306066</v>
      </c>
      <c r="N30" s="13">
        <v>18450</v>
      </c>
      <c r="O30" s="13">
        <f>N30/L30</f>
        <v>2.3207547169811322</v>
      </c>
      <c r="P30" s="13">
        <v>15750</v>
      </c>
      <c r="Q30" s="13">
        <f>P30/N30</f>
        <v>0.85365853658536583</v>
      </c>
      <c r="R30" s="13">
        <v>13600</v>
      </c>
      <c r="S30" s="13">
        <f>R30/P30</f>
        <v>0.86349206349206353</v>
      </c>
      <c r="T30" s="13">
        <v>11600</v>
      </c>
      <c r="U30" s="13">
        <f t="shared" ref="U30:U31" si="6">T30/R30</f>
        <v>0.8529411764705882</v>
      </c>
      <c r="V30" s="13">
        <v>9900</v>
      </c>
      <c r="W30" s="27">
        <f>'2021'!C30/'2020'!V30</f>
        <v>1.5858585858585859</v>
      </c>
      <c r="Y30" s="23"/>
    </row>
    <row r="31" spans="1:25" x14ac:dyDescent="0.25">
      <c r="A31" s="37"/>
      <c r="B31" s="35" t="s">
        <v>17</v>
      </c>
      <c r="C31" s="36">
        <v>386607</v>
      </c>
      <c r="D31" s="36">
        <v>377937</v>
      </c>
      <c r="E31" s="36">
        <v>349107</v>
      </c>
      <c r="F31" s="36">
        <v>357330</v>
      </c>
      <c r="G31" s="36"/>
      <c r="H31" s="36">
        <v>358853</v>
      </c>
      <c r="I31" s="36">
        <f>E31/D31</f>
        <v>0.92371744497098718</v>
      </c>
      <c r="J31" s="36">
        <v>388351</v>
      </c>
      <c r="K31" s="36">
        <v>0.98064483332697905</v>
      </c>
      <c r="L31" s="36">
        <v>361874</v>
      </c>
      <c r="M31" s="36">
        <f>L31/J31</f>
        <v>0.93182198578090436</v>
      </c>
      <c r="N31" s="13">
        <v>358232</v>
      </c>
      <c r="O31" s="13">
        <f>N31/L31</f>
        <v>0.9899357234838646</v>
      </c>
      <c r="P31" s="13">
        <v>384098</v>
      </c>
      <c r="Q31" s="13">
        <f>P31/N31</f>
        <v>1.0722046048370888</v>
      </c>
      <c r="R31" s="13">
        <v>350512</v>
      </c>
      <c r="S31" s="13">
        <f>R31/P31</f>
        <v>0.91255877406286934</v>
      </c>
      <c r="T31" s="13">
        <v>367570</v>
      </c>
      <c r="U31" s="13">
        <f t="shared" si="6"/>
        <v>1.0486659515223444</v>
      </c>
      <c r="V31" s="13">
        <v>374990</v>
      </c>
      <c r="W31" s="27">
        <f>'2021'!C31/'2020'!V31</f>
        <v>1.0704712125656684</v>
      </c>
      <c r="Y31" s="23"/>
    </row>
    <row r="32" spans="1:25" x14ac:dyDescent="0.25">
      <c r="A32" s="76" t="s">
        <v>18</v>
      </c>
      <c r="B32" s="77"/>
      <c r="C32" s="38">
        <f>SUM(C25:C28,C30:C31)</f>
        <v>634478</v>
      </c>
      <c r="D32" s="38">
        <f t="shared" ref="D32:F32" si="7">SUM(D25:D28,D30:D31)</f>
        <v>601614</v>
      </c>
      <c r="E32" s="38">
        <f t="shared" si="7"/>
        <v>565146</v>
      </c>
      <c r="F32" s="38">
        <f t="shared" si="7"/>
        <v>522340</v>
      </c>
      <c r="G32" s="38"/>
      <c r="H32" s="38">
        <f>SUM(H25:H28,H30:H31)</f>
        <v>478623</v>
      </c>
      <c r="I32" s="38"/>
      <c r="J32" s="38">
        <f>SUM(J25:J28,J30:J31)</f>
        <v>519753</v>
      </c>
      <c r="K32" s="38"/>
      <c r="L32" s="38">
        <f>SUM(L25:L28,L30:L31)</f>
        <v>486994</v>
      </c>
      <c r="M32" s="38"/>
      <c r="N32" s="14">
        <f>SUM(N25:N28,N30:N31)</f>
        <v>495260</v>
      </c>
      <c r="O32" s="14"/>
      <c r="P32" s="14">
        <f t="shared" ref="P32:V32" si="8">SUM(P25:P28,P30:P31)</f>
        <v>534249</v>
      </c>
      <c r="Q32" s="14"/>
      <c r="R32" s="14">
        <f t="shared" si="8"/>
        <v>524578</v>
      </c>
      <c r="S32" s="14"/>
      <c r="T32" s="14">
        <f t="shared" si="8"/>
        <v>562141</v>
      </c>
      <c r="U32" s="14"/>
      <c r="V32" s="14">
        <f t="shared" si="8"/>
        <v>602154</v>
      </c>
      <c r="Y32" s="23"/>
    </row>
    <row r="33" spans="1:25" x14ac:dyDescent="0.25">
      <c r="A33" s="78" t="s">
        <v>43</v>
      </c>
      <c r="B33" s="72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4"/>
      <c r="Y33" s="23"/>
    </row>
    <row r="34" spans="1:25" x14ac:dyDescent="0.25">
      <c r="A34" s="79"/>
      <c r="B34" s="35" t="s">
        <v>14</v>
      </c>
      <c r="C34" s="36"/>
      <c r="D34" s="36"/>
      <c r="E34" s="36"/>
      <c r="F34" s="36"/>
      <c r="G34" s="36"/>
      <c r="H34" s="36"/>
      <c r="I34" s="36"/>
      <c r="J34" s="36"/>
      <c r="K34" s="36"/>
      <c r="L34" s="36">
        <v>0</v>
      </c>
      <c r="M34" s="36"/>
      <c r="N34" s="13"/>
      <c r="O34" s="13"/>
      <c r="P34" s="13"/>
      <c r="Q34" s="13"/>
      <c r="R34" s="13"/>
      <c r="S34" s="13"/>
      <c r="T34" s="13"/>
      <c r="U34" s="13"/>
      <c r="V34" s="21"/>
      <c r="Y34" s="23"/>
    </row>
    <row r="35" spans="1:25" x14ac:dyDescent="0.25">
      <c r="A35" s="79"/>
      <c r="B35" s="35" t="s">
        <v>15</v>
      </c>
      <c r="C35" s="36"/>
      <c r="D35" s="36"/>
      <c r="E35" s="36"/>
      <c r="F35" s="36"/>
      <c r="G35" s="36"/>
      <c r="H35" s="36"/>
      <c r="I35" s="36"/>
      <c r="J35" s="36"/>
      <c r="K35" s="36"/>
      <c r="L35" s="36">
        <v>0</v>
      </c>
      <c r="M35" s="36"/>
      <c r="N35" s="13"/>
      <c r="O35" s="13"/>
      <c r="P35" s="13"/>
      <c r="Q35" s="13"/>
      <c r="R35" s="13"/>
      <c r="S35" s="13"/>
      <c r="T35" s="13"/>
      <c r="U35" s="13"/>
      <c r="V35" s="21"/>
      <c r="Y35" s="23"/>
    </row>
    <row r="36" spans="1:25" x14ac:dyDescent="0.25">
      <c r="A36" s="79"/>
      <c r="B36" s="35" t="s">
        <v>16</v>
      </c>
      <c r="C36" s="36">
        <v>301232</v>
      </c>
      <c r="D36" s="36">
        <v>278459</v>
      </c>
      <c r="E36" s="36">
        <v>249727</v>
      </c>
      <c r="F36" s="36">
        <v>161759</v>
      </c>
      <c r="G36" s="36">
        <v>0.70749128833504349</v>
      </c>
      <c r="H36" s="36">
        <v>124423</v>
      </c>
      <c r="I36" s="36">
        <v>0.82574090940937439</v>
      </c>
      <c r="J36" s="36">
        <v>110286</v>
      </c>
      <c r="K36" s="36">
        <v>1.0243428532640975</v>
      </c>
      <c r="L36" s="36">
        <v>119344</v>
      </c>
      <c r="M36" s="36">
        <v>1.029421753211792</v>
      </c>
      <c r="N36" s="13">
        <v>108894</v>
      </c>
      <c r="O36" s="13">
        <v>1.0594147040127455</v>
      </c>
      <c r="P36" s="13">
        <v>133955</v>
      </c>
      <c r="Q36" s="13">
        <v>1.6350303426171362</v>
      </c>
      <c r="R36" s="13">
        <v>200713</v>
      </c>
      <c r="S36" s="13">
        <v>1.2352129621457406</v>
      </c>
      <c r="T36" s="13">
        <v>211719</v>
      </c>
      <c r="U36" s="13">
        <v>1.1211245994855363</v>
      </c>
      <c r="V36" s="13">
        <v>280482</v>
      </c>
      <c r="W36" s="27">
        <f>'2021'!C36/'2020'!V36</f>
        <v>1.0157764134596872</v>
      </c>
      <c r="Y36" s="23"/>
    </row>
    <row r="37" spans="1:25" x14ac:dyDescent="0.25">
      <c r="A37" s="79"/>
      <c r="B37" s="35" t="s">
        <v>17</v>
      </c>
      <c r="C37" s="36">
        <v>5868</v>
      </c>
      <c r="D37" s="36">
        <v>5102</v>
      </c>
      <c r="E37" s="36">
        <v>4834</v>
      </c>
      <c r="F37" s="36">
        <v>3494</v>
      </c>
      <c r="G37" s="36">
        <v>1.0163636363636364</v>
      </c>
      <c r="H37" s="36">
        <v>2197</v>
      </c>
      <c r="I37" s="36">
        <v>0.59242695289206915</v>
      </c>
      <c r="J37" s="36">
        <v>1766</v>
      </c>
      <c r="K37" s="36">
        <v>0.89531957725213895</v>
      </c>
      <c r="L37" s="36">
        <v>1485</v>
      </c>
      <c r="M37" s="36">
        <v>1.2945474985947161</v>
      </c>
      <c r="N37" s="13">
        <v>1760</v>
      </c>
      <c r="O37" s="13">
        <v>1.2019105514546244</v>
      </c>
      <c r="P37" s="13">
        <v>3105</v>
      </c>
      <c r="Q37" s="13">
        <v>1.4786849710982659</v>
      </c>
      <c r="R37" s="13">
        <v>4435</v>
      </c>
      <c r="S37" s="13">
        <v>1.2616662594673833</v>
      </c>
      <c r="T37" s="13">
        <v>5260</v>
      </c>
      <c r="U37" s="13">
        <v>1.1369093725793957</v>
      </c>
      <c r="V37" s="13">
        <v>5160</v>
      </c>
      <c r="W37" s="27">
        <f>'2021'!C37/'2020'!V37</f>
        <v>1.0715116279069767</v>
      </c>
      <c r="Y37" s="23"/>
    </row>
    <row r="38" spans="1:25" x14ac:dyDescent="0.25">
      <c r="A38" s="79"/>
      <c r="B38" s="72" t="s">
        <v>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</row>
    <row r="39" spans="1:25" x14ac:dyDescent="0.25">
      <c r="A39" s="79"/>
      <c r="B39" s="40"/>
      <c r="C39" s="36">
        <v>5320</v>
      </c>
      <c r="D39" s="36">
        <v>4980</v>
      </c>
      <c r="E39" s="36">
        <v>5800</v>
      </c>
      <c r="F39" s="36">
        <v>4120</v>
      </c>
      <c r="G39" s="36">
        <v>1.006747324336901</v>
      </c>
      <c r="H39" s="36">
        <v>3800</v>
      </c>
      <c r="I39" s="36"/>
      <c r="J39" s="36">
        <v>3140</v>
      </c>
      <c r="K39" s="36">
        <v>0.8923114834894037</v>
      </c>
      <c r="L39" s="36">
        <v>2780</v>
      </c>
      <c r="M39" s="36">
        <v>0.97597348798674399</v>
      </c>
      <c r="N39" s="13">
        <v>3120</v>
      </c>
      <c r="O39" s="13">
        <v>1.4258630447085456</v>
      </c>
      <c r="P39" s="13">
        <v>4060</v>
      </c>
      <c r="Q39" s="13">
        <v>1.1728517563008534</v>
      </c>
      <c r="R39" s="13">
        <v>4340</v>
      </c>
      <c r="S39" s="13">
        <f>R39/P39</f>
        <v>1.0689655172413792</v>
      </c>
      <c r="T39" s="13">
        <v>4600</v>
      </c>
      <c r="U39" s="13">
        <v>1.0082524974663385</v>
      </c>
      <c r="V39" s="13">
        <v>4960</v>
      </c>
      <c r="W39" s="27">
        <f>'2021'!C39/'2020'!V39</f>
        <v>0.97177419354838712</v>
      </c>
    </row>
    <row r="40" spans="1:25" x14ac:dyDescent="0.25">
      <c r="A40" s="76" t="s">
        <v>18</v>
      </c>
      <c r="B40" s="77"/>
      <c r="C40" s="38">
        <f>SUM(C34:C37,C39)</f>
        <v>312420</v>
      </c>
      <c r="D40" s="38">
        <f t="shared" ref="D40:V40" si="9">SUM(D34:D37,D39)</f>
        <v>288541</v>
      </c>
      <c r="E40" s="38">
        <f>SUM(E34:E37,E39)</f>
        <v>260361</v>
      </c>
      <c r="F40" s="38">
        <f t="shared" si="9"/>
        <v>169373</v>
      </c>
      <c r="G40" s="38"/>
      <c r="H40" s="38">
        <f>SUM(H34:H37,H39)</f>
        <v>130420</v>
      </c>
      <c r="I40" s="38"/>
      <c r="J40" s="38">
        <f t="shared" si="9"/>
        <v>115192</v>
      </c>
      <c r="K40" s="38"/>
      <c r="L40" s="38">
        <f>SUM(L34:L37,L39)</f>
        <v>123609</v>
      </c>
      <c r="M40" s="38"/>
      <c r="N40" s="14">
        <f>SUM(N34:N37,N39)</f>
        <v>113774</v>
      </c>
      <c r="O40" s="14"/>
      <c r="P40" s="14">
        <f t="shared" si="9"/>
        <v>141120</v>
      </c>
      <c r="Q40" s="14"/>
      <c r="R40" s="14">
        <f t="shared" si="9"/>
        <v>209488</v>
      </c>
      <c r="S40" s="14"/>
      <c r="T40" s="14">
        <f t="shared" si="9"/>
        <v>221579</v>
      </c>
      <c r="U40" s="14"/>
      <c r="V40" s="14">
        <f t="shared" si="9"/>
        <v>290602</v>
      </c>
    </row>
    <row r="41" spans="1:25" x14ac:dyDescent="0.25">
      <c r="A41" s="78" t="s">
        <v>44</v>
      </c>
      <c r="B41" s="72" t="s">
        <v>19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</row>
    <row r="42" spans="1:25" x14ac:dyDescent="0.25">
      <c r="A42" s="79"/>
      <c r="B42" s="35" t="s">
        <v>14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13"/>
      <c r="O42" s="13"/>
      <c r="P42" s="13"/>
      <c r="Q42" s="13"/>
      <c r="R42" s="13"/>
      <c r="S42" s="13"/>
      <c r="T42" s="13"/>
      <c r="U42" s="13"/>
      <c r="V42" s="21"/>
    </row>
    <row r="43" spans="1:25" x14ac:dyDescent="0.25">
      <c r="A43" s="79"/>
      <c r="B43" s="35" t="s">
        <v>15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3"/>
      <c r="O43" s="13"/>
      <c r="P43" s="13"/>
      <c r="Q43" s="13"/>
      <c r="R43" s="13"/>
      <c r="S43" s="13"/>
      <c r="T43" s="13"/>
      <c r="U43" s="13"/>
      <c r="V43" s="21"/>
    </row>
    <row r="44" spans="1:25" x14ac:dyDescent="0.25">
      <c r="A44" s="79"/>
      <c r="B44" s="35" t="s">
        <v>16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13"/>
      <c r="O44" s="13"/>
      <c r="P44" s="13"/>
      <c r="Q44" s="13"/>
      <c r="R44" s="13"/>
      <c r="S44" s="13"/>
      <c r="T44" s="13"/>
      <c r="U44" s="13"/>
      <c r="V44" s="21"/>
    </row>
    <row r="45" spans="1:25" x14ac:dyDescent="0.25">
      <c r="A45" s="79"/>
      <c r="B45" s="35" t="s">
        <v>17</v>
      </c>
      <c r="C45" s="36">
        <v>10265</v>
      </c>
      <c r="D45" s="36">
        <v>9108</v>
      </c>
      <c r="E45" s="36">
        <v>3278</v>
      </c>
      <c r="F45" s="36">
        <v>3050</v>
      </c>
      <c r="G45" s="36">
        <v>0.81</v>
      </c>
      <c r="H45" s="36">
        <v>3203</v>
      </c>
      <c r="I45" s="36">
        <v>0.76131687242798352</v>
      </c>
      <c r="J45" s="36">
        <v>3419</v>
      </c>
      <c r="K45" s="36">
        <v>1.0702702702702702</v>
      </c>
      <c r="L45" s="36">
        <v>4116</v>
      </c>
      <c r="M45" s="36">
        <v>1.2626262626262625</v>
      </c>
      <c r="N45" s="13">
        <v>4169</v>
      </c>
      <c r="O45" s="13">
        <v>1.284</v>
      </c>
      <c r="P45" s="13">
        <f>2813+321</f>
        <v>3134</v>
      </c>
      <c r="Q45" s="13">
        <v>1.1526479750778815</v>
      </c>
      <c r="R45" s="13">
        <f>2621+370</f>
        <v>2991</v>
      </c>
      <c r="S45" s="13">
        <v>1.1297297297297297</v>
      </c>
      <c r="T45" s="13">
        <v>2652</v>
      </c>
      <c r="U45" s="13">
        <v>1.0909090909090908</v>
      </c>
      <c r="V45" s="13">
        <v>2652</v>
      </c>
      <c r="W45" s="27">
        <f>'2021'!C45/'2020'!V45</f>
        <v>1.1998491704374057</v>
      </c>
      <c r="Y45" s="23"/>
    </row>
    <row r="46" spans="1:25" x14ac:dyDescent="0.25">
      <c r="A46" s="79"/>
      <c r="B46" s="72" t="s">
        <v>20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4"/>
      <c r="Y46" s="23"/>
    </row>
    <row r="47" spans="1:25" x14ac:dyDescent="0.25">
      <c r="A47" s="79"/>
      <c r="B47" s="35" t="s">
        <v>17</v>
      </c>
      <c r="C47" s="36">
        <v>32680</v>
      </c>
      <c r="D47" s="36">
        <v>29989</v>
      </c>
      <c r="E47" s="36">
        <v>28184</v>
      </c>
      <c r="F47" s="36">
        <v>25176</v>
      </c>
      <c r="G47" s="36"/>
      <c r="H47" s="36">
        <v>25594</v>
      </c>
      <c r="I47" s="36"/>
      <c r="J47" s="36">
        <v>25382</v>
      </c>
      <c r="K47" s="36">
        <v>0</v>
      </c>
      <c r="L47" s="36">
        <v>23011</v>
      </c>
      <c r="M47" s="36">
        <f>L47/J47</f>
        <v>0.90658734536285557</v>
      </c>
      <c r="N47" s="13">
        <v>23012</v>
      </c>
      <c r="O47" s="13">
        <f>N47/L47</f>
        <v>1.0000434574768589</v>
      </c>
      <c r="P47" s="13">
        <v>27387</v>
      </c>
      <c r="Q47" s="13">
        <f>P47/N47</f>
        <v>1.1901181992004173</v>
      </c>
      <c r="R47" s="13">
        <v>24677</v>
      </c>
      <c r="S47" s="13">
        <f>R47/P47</f>
        <v>0.90104794245444919</v>
      </c>
      <c r="T47" s="13">
        <v>26535</v>
      </c>
      <c r="U47" s="13">
        <f>T47/R47</f>
        <v>1.0752927827531709</v>
      </c>
      <c r="V47" s="21">
        <v>26535</v>
      </c>
      <c r="W47" s="27">
        <f>'2021'!C47/'2020'!V47</f>
        <v>1.2521575277934802</v>
      </c>
      <c r="Y47" s="23"/>
    </row>
    <row r="48" spans="1:25" x14ac:dyDescent="0.25">
      <c r="A48" s="76" t="s">
        <v>18</v>
      </c>
      <c r="B48" s="77"/>
      <c r="C48" s="38">
        <f>SUM(C42:C45,C47)</f>
        <v>42945</v>
      </c>
      <c r="D48" s="38">
        <f t="shared" ref="D48:V48" si="10">SUM(D42:D45,D47)</f>
        <v>39097</v>
      </c>
      <c r="E48" s="38">
        <f>SUM(E42:E45,E47)</f>
        <v>31462</v>
      </c>
      <c r="F48" s="38">
        <f t="shared" si="10"/>
        <v>28226</v>
      </c>
      <c r="G48" s="38"/>
      <c r="H48" s="38">
        <f>SUM(H42:H45,H47)</f>
        <v>28797</v>
      </c>
      <c r="I48" s="38"/>
      <c r="J48" s="38">
        <f t="shared" si="10"/>
        <v>28801</v>
      </c>
      <c r="K48" s="38"/>
      <c r="L48" s="38">
        <f>SUM(L42:L45,L47)</f>
        <v>27127</v>
      </c>
      <c r="M48" s="38"/>
      <c r="N48" s="14">
        <f>SUM(N42:N45,N47)</f>
        <v>27181</v>
      </c>
      <c r="O48" s="14"/>
      <c r="P48" s="14">
        <f t="shared" si="10"/>
        <v>30521</v>
      </c>
      <c r="Q48" s="14"/>
      <c r="R48" s="14">
        <f t="shared" si="10"/>
        <v>27668</v>
      </c>
      <c r="S48" s="14"/>
      <c r="T48" s="14">
        <f t="shared" si="10"/>
        <v>29187</v>
      </c>
      <c r="U48" s="14"/>
      <c r="V48" s="14">
        <f t="shared" si="10"/>
        <v>29187</v>
      </c>
      <c r="Y48" s="23"/>
    </row>
    <row r="49" spans="1:25" x14ac:dyDescent="0.25">
      <c r="A49" s="78" t="s">
        <v>32</v>
      </c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4"/>
      <c r="Y49" s="23"/>
    </row>
    <row r="50" spans="1:25" x14ac:dyDescent="0.25">
      <c r="A50" s="79"/>
      <c r="B50" s="35" t="s">
        <v>14</v>
      </c>
      <c r="C50" s="36"/>
      <c r="D50" s="36"/>
      <c r="E50" s="36"/>
      <c r="F50" s="36"/>
      <c r="G50" s="36"/>
      <c r="H50" s="36"/>
      <c r="I50" s="36"/>
      <c r="J50" s="36"/>
      <c r="K50" s="36"/>
      <c r="L50" s="36">
        <v>0</v>
      </c>
      <c r="M50" s="36"/>
      <c r="N50" s="13"/>
      <c r="O50" s="13"/>
      <c r="P50" s="13"/>
      <c r="Q50" s="13"/>
      <c r="R50" s="13"/>
      <c r="S50" s="13"/>
      <c r="T50" s="13"/>
      <c r="U50" s="13"/>
      <c r="V50" s="21"/>
      <c r="Y50" s="23"/>
    </row>
    <row r="51" spans="1:25" x14ac:dyDescent="0.25">
      <c r="A51" s="79"/>
      <c r="B51" s="35" t="s">
        <v>15</v>
      </c>
      <c r="C51" s="36"/>
      <c r="D51" s="36"/>
      <c r="E51" s="36"/>
      <c r="F51" s="36"/>
      <c r="G51" s="36"/>
      <c r="H51" s="36"/>
      <c r="I51" s="36"/>
      <c r="J51" s="36"/>
      <c r="K51" s="36"/>
      <c r="L51" s="36">
        <v>0</v>
      </c>
      <c r="M51" s="36"/>
      <c r="N51" s="13"/>
      <c r="O51" s="13"/>
      <c r="P51" s="13"/>
      <c r="Q51" s="13"/>
      <c r="R51" s="13"/>
      <c r="S51" s="13"/>
      <c r="T51" s="13"/>
      <c r="U51" s="13"/>
      <c r="V51" s="21"/>
      <c r="Y51" s="23"/>
    </row>
    <row r="52" spans="1:25" x14ac:dyDescent="0.25">
      <c r="A52" s="79"/>
      <c r="B52" s="35" t="s">
        <v>16</v>
      </c>
      <c r="C52" s="36">
        <v>290223</v>
      </c>
      <c r="D52" s="36">
        <v>257230</v>
      </c>
      <c r="E52" s="36">
        <v>256226</v>
      </c>
      <c r="F52" s="36">
        <v>144287</v>
      </c>
      <c r="G52" s="36"/>
      <c r="H52" s="36">
        <v>101627</v>
      </c>
      <c r="I52" s="36">
        <f>H52/F52</f>
        <v>0.70433926826394622</v>
      </c>
      <c r="J52" s="36">
        <v>82762</v>
      </c>
      <c r="K52" s="36">
        <v>0.8486990739170257</v>
      </c>
      <c r="L52" s="36">
        <v>102686</v>
      </c>
      <c r="M52" s="36">
        <v>0.99902473340048281</v>
      </c>
      <c r="N52" s="13">
        <v>134325</v>
      </c>
      <c r="O52" s="13">
        <v>1.0722081746311174</v>
      </c>
      <c r="P52" s="13">
        <v>170899</v>
      </c>
      <c r="Q52" s="13">
        <v>1.5516657213648168</v>
      </c>
      <c r="R52" s="13">
        <v>223037</v>
      </c>
      <c r="S52" s="13">
        <v>1.0702588051963042</v>
      </c>
      <c r="T52" s="13">
        <v>229082</v>
      </c>
      <c r="U52" s="13">
        <v>1.1201662734524211</v>
      </c>
      <c r="V52" s="21">
        <v>295234</v>
      </c>
      <c r="W52" s="27">
        <f>'2021'!C52/'2020'!V52</f>
        <v>0.96523435647655753</v>
      </c>
      <c r="Y52" s="23"/>
    </row>
    <row r="53" spans="1:25" x14ac:dyDescent="0.25">
      <c r="A53" s="79"/>
      <c r="B53" s="35" t="s">
        <v>17</v>
      </c>
      <c r="C53" s="36">
        <v>31791</v>
      </c>
      <c r="D53" s="36">
        <v>28256</v>
      </c>
      <c r="E53" s="36">
        <v>23456</v>
      </c>
      <c r="F53" s="36">
        <v>19353</v>
      </c>
      <c r="G53" s="36">
        <v>0.86234887737478416</v>
      </c>
      <c r="H53" s="36">
        <v>16851</v>
      </c>
      <c r="I53" s="41"/>
      <c r="J53" s="36">
        <v>14864</v>
      </c>
      <c r="K53" s="36">
        <v>0.81355088495575223</v>
      </c>
      <c r="L53" s="36">
        <v>18158</v>
      </c>
      <c r="M53" s="36">
        <v>1.0900129172615405</v>
      </c>
      <c r="N53" s="13">
        <v>15736</v>
      </c>
      <c r="O53" s="13">
        <v>1.2554107153994885</v>
      </c>
      <c r="P53" s="13">
        <v>20429</v>
      </c>
      <c r="Q53" s="13">
        <v>0.95260333863275037</v>
      </c>
      <c r="R53" s="13">
        <v>19189</v>
      </c>
      <c r="S53" s="13">
        <v>1.3683112548242411</v>
      </c>
      <c r="T53" s="13">
        <v>23793</v>
      </c>
      <c r="U53" s="13">
        <v>1.1195685317883823</v>
      </c>
      <c r="V53" s="13">
        <v>26300</v>
      </c>
      <c r="W53" s="27">
        <f>'2021'!C53/'2020'!V53</f>
        <v>1.2281749049429658</v>
      </c>
      <c r="Y53" s="23"/>
    </row>
    <row r="54" spans="1:25" x14ac:dyDescent="0.25">
      <c r="A54" s="79"/>
      <c r="B54" s="72" t="s">
        <v>20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4"/>
      <c r="Y54" s="23"/>
    </row>
    <row r="55" spans="1:25" x14ac:dyDescent="0.25">
      <c r="A55" s="79"/>
      <c r="B55" s="40" t="s">
        <v>20</v>
      </c>
      <c r="C55" s="36">
        <v>100</v>
      </c>
      <c r="D55" s="36">
        <v>100</v>
      </c>
      <c r="E55" s="36">
        <v>100</v>
      </c>
      <c r="F55" s="36">
        <v>100</v>
      </c>
      <c r="G55" s="36"/>
      <c r="H55" s="36">
        <v>100</v>
      </c>
      <c r="I55" s="36"/>
      <c r="J55" s="36">
        <v>100</v>
      </c>
      <c r="K55" s="36">
        <v>1</v>
      </c>
      <c r="L55" s="36">
        <v>100</v>
      </c>
      <c r="M55" s="36">
        <v>1</v>
      </c>
      <c r="N55" s="13">
        <f>L55*M55</f>
        <v>100</v>
      </c>
      <c r="O55" s="13">
        <v>1</v>
      </c>
      <c r="P55" s="13">
        <f>N55*O55</f>
        <v>100</v>
      </c>
      <c r="Q55" s="13">
        <v>1</v>
      </c>
      <c r="R55" s="13">
        <v>100</v>
      </c>
      <c r="S55" s="13">
        <v>100</v>
      </c>
      <c r="T55" s="13">
        <v>100</v>
      </c>
      <c r="U55" s="13">
        <v>1</v>
      </c>
      <c r="V55" s="21">
        <f>T55*U55</f>
        <v>100</v>
      </c>
      <c r="W55" s="27">
        <f>'2021'!C55/'2020'!V55</f>
        <v>0</v>
      </c>
      <c r="Y55" s="23"/>
    </row>
    <row r="56" spans="1:25" x14ac:dyDescent="0.25">
      <c r="A56" s="76" t="s">
        <v>18</v>
      </c>
      <c r="B56" s="77"/>
      <c r="C56" s="38">
        <f>SUM(C50:C53,C55)</f>
        <v>322114</v>
      </c>
      <c r="D56" s="38">
        <f t="shared" ref="D56:V56" si="11">SUM(D50:D53,D55)</f>
        <v>285586</v>
      </c>
      <c r="E56" s="38">
        <f>SUM(E50:E53,E55)</f>
        <v>279782</v>
      </c>
      <c r="F56" s="38">
        <f t="shared" si="11"/>
        <v>163740</v>
      </c>
      <c r="G56" s="38"/>
      <c r="H56" s="38">
        <f>SUM(H50:H53,H55)</f>
        <v>118578</v>
      </c>
      <c r="I56" s="38"/>
      <c r="J56" s="38">
        <f t="shared" si="11"/>
        <v>97726</v>
      </c>
      <c r="K56" s="38"/>
      <c r="L56" s="38">
        <f>SUM(L50:L53,L55)</f>
        <v>120944</v>
      </c>
      <c r="M56" s="38"/>
      <c r="N56" s="14">
        <f>SUM(N50:N53,N55)</f>
        <v>150161</v>
      </c>
      <c r="O56" s="14"/>
      <c r="P56" s="14">
        <f t="shared" si="11"/>
        <v>191428</v>
      </c>
      <c r="Q56" s="14"/>
      <c r="R56" s="14">
        <f t="shared" si="11"/>
        <v>242326</v>
      </c>
      <c r="S56" s="14"/>
      <c r="T56" s="14">
        <f t="shared" si="11"/>
        <v>252975</v>
      </c>
      <c r="U56" s="14"/>
      <c r="V56" s="14">
        <f t="shared" si="11"/>
        <v>321634</v>
      </c>
      <c r="Y56" s="23"/>
    </row>
    <row r="57" spans="1:25" x14ac:dyDescent="0.25">
      <c r="A57" s="78" t="s">
        <v>45</v>
      </c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4"/>
      <c r="Y57" s="23"/>
    </row>
    <row r="58" spans="1:25" x14ac:dyDescent="0.25">
      <c r="A58" s="79"/>
      <c r="B58" s="35" t="s">
        <v>14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3"/>
      <c r="O58" s="13"/>
      <c r="P58" s="13"/>
      <c r="Q58" s="13"/>
      <c r="R58" s="13"/>
      <c r="S58" s="13"/>
      <c r="T58" s="13"/>
      <c r="U58" s="13"/>
      <c r="V58" s="21"/>
      <c r="Y58" s="23"/>
    </row>
    <row r="59" spans="1:25" x14ac:dyDescent="0.25">
      <c r="A59" s="79"/>
      <c r="B59" s="35" t="s">
        <v>15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3"/>
      <c r="O59" s="13"/>
      <c r="P59" s="13"/>
      <c r="Q59" s="13"/>
      <c r="R59" s="13"/>
      <c r="S59" s="13"/>
      <c r="T59" s="13"/>
      <c r="U59" s="13"/>
      <c r="V59" s="21"/>
      <c r="Y59" s="23"/>
    </row>
    <row r="60" spans="1:25" x14ac:dyDescent="0.25">
      <c r="A60" s="79"/>
      <c r="B60" s="35" t="s">
        <v>16</v>
      </c>
      <c r="C60" s="36"/>
      <c r="D60" s="36"/>
      <c r="E60" s="36"/>
      <c r="F60" s="36"/>
      <c r="G60" s="36"/>
      <c r="H60" s="36"/>
      <c r="I60" s="36" t="e">
        <f>H60/F60</f>
        <v>#DIV/0!</v>
      </c>
      <c r="J60" s="36"/>
      <c r="K60" s="36"/>
      <c r="L60" s="36"/>
      <c r="M60" s="36"/>
      <c r="N60" s="13"/>
      <c r="O60" s="13"/>
      <c r="P60" s="13"/>
      <c r="Q60" s="13"/>
      <c r="R60" s="13"/>
      <c r="S60" s="13"/>
      <c r="T60" s="13"/>
      <c r="U60" s="13"/>
      <c r="V60" s="21"/>
      <c r="Y60" s="23"/>
    </row>
    <row r="61" spans="1:25" x14ac:dyDescent="0.25">
      <c r="A61" s="79"/>
      <c r="B61" s="35" t="s">
        <v>17</v>
      </c>
      <c r="C61" s="36">
        <v>5851</v>
      </c>
      <c r="D61" s="36">
        <v>5606</v>
      </c>
      <c r="E61" s="36">
        <v>6096</v>
      </c>
      <c r="F61" s="36">
        <v>1869</v>
      </c>
      <c r="G61" s="36">
        <v>0.86234887737478416</v>
      </c>
      <c r="H61" s="36">
        <v>2114</v>
      </c>
      <c r="I61" s="36"/>
      <c r="J61" s="36">
        <v>1961</v>
      </c>
      <c r="K61" s="36">
        <f>J61/H61</f>
        <v>0.92762535477767261</v>
      </c>
      <c r="L61" s="36">
        <v>2114</v>
      </c>
      <c r="M61" s="36">
        <f>L61/J61</f>
        <v>1.0780214176440592</v>
      </c>
      <c r="N61" s="13">
        <v>3247</v>
      </c>
      <c r="O61" s="13">
        <v>1.3511088960877149</v>
      </c>
      <c r="P61" s="13">
        <v>3094</v>
      </c>
      <c r="Q61" s="13">
        <v>1.2259313906307636</v>
      </c>
      <c r="R61" s="13">
        <v>5300</v>
      </c>
      <c r="S61" s="13">
        <v>1.027681660899654</v>
      </c>
      <c r="T61" s="13">
        <v>4258</v>
      </c>
      <c r="U61" s="13">
        <v>1.0134680134680134</v>
      </c>
      <c r="V61" s="13">
        <v>4442</v>
      </c>
      <c r="W61" s="27">
        <f>'2021'!C61/'2020'!V61</f>
        <v>0.6276452048626745</v>
      </c>
      <c r="Y61" s="23"/>
    </row>
    <row r="62" spans="1:25" x14ac:dyDescent="0.25">
      <c r="A62" s="79"/>
      <c r="B62" s="72" t="s">
        <v>20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4"/>
    </row>
    <row r="63" spans="1:25" x14ac:dyDescent="0.25">
      <c r="A63" s="79"/>
      <c r="B63" s="40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13"/>
      <c r="O63" s="13"/>
      <c r="P63" s="13"/>
      <c r="Q63" s="13"/>
      <c r="R63" s="13"/>
      <c r="S63" s="13"/>
      <c r="T63" s="13"/>
      <c r="U63" s="13"/>
      <c r="V63" s="21"/>
    </row>
    <row r="64" spans="1:25" x14ac:dyDescent="0.25">
      <c r="A64" s="76" t="s">
        <v>18</v>
      </c>
      <c r="B64" s="77"/>
      <c r="C64" s="38">
        <f>SUM(C58:C61,C63)</f>
        <v>5851</v>
      </c>
      <c r="D64" s="38">
        <f t="shared" ref="D64:V64" si="12">SUM(D58:D61,D63)</f>
        <v>5606</v>
      </c>
      <c r="E64" s="38">
        <f t="shared" si="12"/>
        <v>6096</v>
      </c>
      <c r="F64" s="38">
        <f t="shared" si="12"/>
        <v>1869</v>
      </c>
      <c r="G64" s="38">
        <f t="shared" si="12"/>
        <v>0.86234887737478416</v>
      </c>
      <c r="H64" s="38">
        <f t="shared" si="12"/>
        <v>2114</v>
      </c>
      <c r="I64" s="38" t="e">
        <f t="shared" si="12"/>
        <v>#DIV/0!</v>
      </c>
      <c r="J64" s="38">
        <f t="shared" si="12"/>
        <v>1961</v>
      </c>
      <c r="K64" s="38"/>
      <c r="L64" s="38">
        <f t="shared" si="12"/>
        <v>2114</v>
      </c>
      <c r="M64" s="38"/>
      <c r="N64" s="14">
        <f t="shared" si="12"/>
        <v>3247</v>
      </c>
      <c r="O64" s="14"/>
      <c r="P64" s="14">
        <f t="shared" si="12"/>
        <v>3094</v>
      </c>
      <c r="Q64" s="14"/>
      <c r="R64" s="14">
        <f t="shared" si="12"/>
        <v>5300</v>
      </c>
      <c r="S64" s="14"/>
      <c r="T64" s="14">
        <f t="shared" si="12"/>
        <v>4258</v>
      </c>
      <c r="U64" s="14"/>
      <c r="V64" s="14">
        <f t="shared" si="12"/>
        <v>4442</v>
      </c>
    </row>
    <row r="65" spans="1:25" x14ac:dyDescent="0.25">
      <c r="A65" s="78" t="s">
        <v>37</v>
      </c>
      <c r="B65" s="72" t="s">
        <v>19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4"/>
      <c r="Y65" s="23"/>
    </row>
    <row r="66" spans="1:25" x14ac:dyDescent="0.25">
      <c r="A66" s="79"/>
      <c r="B66" s="35" t="s">
        <v>14</v>
      </c>
      <c r="C66" s="36">
        <v>0</v>
      </c>
      <c r="D66" s="36">
        <v>0</v>
      </c>
      <c r="E66" s="36">
        <v>0</v>
      </c>
      <c r="F66" s="36">
        <v>0</v>
      </c>
      <c r="G66" s="36"/>
      <c r="H66" s="36">
        <v>0</v>
      </c>
      <c r="I66" s="36"/>
      <c r="J66" s="36">
        <v>0</v>
      </c>
      <c r="K66" s="36"/>
      <c r="L66" s="36"/>
      <c r="M66" s="36"/>
      <c r="N66" s="13"/>
      <c r="O66" s="13"/>
      <c r="P66" s="13"/>
      <c r="Q66" s="13"/>
      <c r="R66" s="13"/>
      <c r="S66" s="13"/>
      <c r="T66" s="13"/>
      <c r="U66" s="13"/>
      <c r="V66" s="21"/>
      <c r="Y66" s="23"/>
    </row>
    <row r="67" spans="1:25" x14ac:dyDescent="0.25">
      <c r="A67" s="79"/>
      <c r="B67" s="35" t="s">
        <v>15</v>
      </c>
      <c r="C67" s="36">
        <v>0</v>
      </c>
      <c r="D67" s="36">
        <v>0</v>
      </c>
      <c r="E67" s="36">
        <v>0</v>
      </c>
      <c r="F67" s="36">
        <v>0</v>
      </c>
      <c r="G67" s="36"/>
      <c r="H67" s="36">
        <v>0</v>
      </c>
      <c r="I67" s="36"/>
      <c r="J67" s="36">
        <v>0</v>
      </c>
      <c r="K67" s="36"/>
      <c r="L67" s="36"/>
      <c r="M67" s="36"/>
      <c r="N67" s="13"/>
      <c r="O67" s="13"/>
      <c r="P67" s="13"/>
      <c r="Q67" s="13"/>
      <c r="R67" s="13"/>
      <c r="S67" s="13"/>
      <c r="T67" s="13"/>
      <c r="U67" s="13"/>
      <c r="V67" s="21"/>
      <c r="Y67" s="23"/>
    </row>
    <row r="68" spans="1:25" x14ac:dyDescent="0.25">
      <c r="A68" s="79"/>
      <c r="B68" s="35" t="s">
        <v>16</v>
      </c>
      <c r="C68" s="36">
        <v>24</v>
      </c>
      <c r="D68" s="36">
        <v>28</v>
      </c>
      <c r="E68" s="36">
        <v>104</v>
      </c>
      <c r="F68" s="36">
        <v>64</v>
      </c>
      <c r="G68" s="36"/>
      <c r="H68" s="36">
        <v>63</v>
      </c>
      <c r="I68" s="36">
        <f>H68/F68</f>
        <v>0.984375</v>
      </c>
      <c r="J68" s="36">
        <v>297</v>
      </c>
      <c r="K68" s="36">
        <v>0</v>
      </c>
      <c r="L68" s="36">
        <f>J68*K68</f>
        <v>0</v>
      </c>
      <c r="M68" s="36">
        <v>0.5</v>
      </c>
      <c r="N68" s="13">
        <v>91</v>
      </c>
      <c r="O68" s="13">
        <v>0</v>
      </c>
      <c r="P68" s="13">
        <v>65</v>
      </c>
      <c r="Q68" s="13">
        <f>P68/N68</f>
        <v>0.7142857142857143</v>
      </c>
      <c r="R68" s="13">
        <v>0</v>
      </c>
      <c r="S68" s="13">
        <v>6.2</v>
      </c>
      <c r="T68" s="13">
        <v>65</v>
      </c>
      <c r="U68" s="13">
        <v>16.048387096774192</v>
      </c>
      <c r="V68" s="21">
        <v>23</v>
      </c>
      <c r="W68" s="27">
        <f>'2021'!C68/'2020'!V68</f>
        <v>1.0869565217391304</v>
      </c>
      <c r="Y68" s="23"/>
    </row>
    <row r="69" spans="1:25" x14ac:dyDescent="0.25">
      <c r="A69" s="79"/>
      <c r="B69" s="35" t="s">
        <v>17</v>
      </c>
      <c r="C69" s="36">
        <v>3508</v>
      </c>
      <c r="D69" s="36">
        <v>3174</v>
      </c>
      <c r="E69" s="36">
        <v>2966</v>
      </c>
      <c r="F69" s="36">
        <v>2067</v>
      </c>
      <c r="G69" s="36">
        <v>0.86234887737478416</v>
      </c>
      <c r="H69" s="36">
        <v>332</v>
      </c>
      <c r="I69" s="36"/>
      <c r="J69" s="36">
        <v>366</v>
      </c>
      <c r="K69" s="36">
        <v>0.96729254996971537</v>
      </c>
      <c r="L69" s="36">
        <v>355</v>
      </c>
      <c r="M69" s="36">
        <v>0.69693174702567318</v>
      </c>
      <c r="N69" s="13">
        <v>323</v>
      </c>
      <c r="O69" s="13">
        <v>1.1787960467205749</v>
      </c>
      <c r="P69" s="13">
        <v>1399</v>
      </c>
      <c r="Q69" s="13">
        <v>1.7576219512195121</v>
      </c>
      <c r="R69" s="13">
        <v>2088</v>
      </c>
      <c r="S69" s="13">
        <v>1.5169124024284475</v>
      </c>
      <c r="T69" s="13">
        <v>3146</v>
      </c>
      <c r="U69" s="13">
        <v>1.2389937106918238</v>
      </c>
      <c r="V69" s="13">
        <v>3081</v>
      </c>
      <c r="W69" s="27">
        <f>'2021'!C69/'2020'!V69</f>
        <v>1.6014281077572217</v>
      </c>
      <c r="Y69" s="23"/>
    </row>
    <row r="70" spans="1:25" x14ac:dyDescent="0.25">
      <c r="A70" s="79"/>
      <c r="B70" s="72" t="s">
        <v>20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4"/>
    </row>
    <row r="71" spans="1:25" x14ac:dyDescent="0.25">
      <c r="A71" s="79"/>
      <c r="B71" s="40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13"/>
      <c r="O71" s="13"/>
      <c r="P71" s="13"/>
      <c r="Q71" s="13"/>
      <c r="R71" s="13"/>
      <c r="S71" s="13"/>
      <c r="T71" s="13"/>
      <c r="U71" s="13"/>
      <c r="V71" s="21"/>
    </row>
    <row r="72" spans="1:25" x14ac:dyDescent="0.25">
      <c r="A72" s="76" t="s">
        <v>18</v>
      </c>
      <c r="B72" s="77"/>
      <c r="C72" s="38">
        <f>SUM(C66:C69,C71)</f>
        <v>3532</v>
      </c>
      <c r="D72" s="38">
        <f t="shared" ref="D72:V72" si="13">SUM(D66:D69,D71)</f>
        <v>3202</v>
      </c>
      <c r="E72" s="38">
        <f t="shared" si="13"/>
        <v>3070</v>
      </c>
      <c r="F72" s="38">
        <f t="shared" si="13"/>
        <v>2131</v>
      </c>
      <c r="G72" s="38">
        <f t="shared" si="13"/>
        <v>0.86234887737478416</v>
      </c>
      <c r="H72" s="38">
        <f t="shared" si="13"/>
        <v>395</v>
      </c>
      <c r="I72" s="38">
        <f t="shared" si="13"/>
        <v>0.984375</v>
      </c>
      <c r="J72" s="38">
        <f t="shared" si="13"/>
        <v>663</v>
      </c>
      <c r="K72" s="38"/>
      <c r="L72" s="38">
        <f t="shared" si="13"/>
        <v>355</v>
      </c>
      <c r="M72" s="38"/>
      <c r="N72" s="14">
        <f t="shared" si="13"/>
        <v>414</v>
      </c>
      <c r="O72" s="14"/>
      <c r="P72" s="14">
        <f t="shared" si="13"/>
        <v>1464</v>
      </c>
      <c r="Q72" s="14"/>
      <c r="R72" s="14">
        <f t="shared" si="13"/>
        <v>2088</v>
      </c>
      <c r="S72" s="14"/>
      <c r="T72" s="14">
        <f t="shared" si="13"/>
        <v>3211</v>
      </c>
      <c r="U72" s="14"/>
      <c r="V72" s="14">
        <f t="shared" si="13"/>
        <v>3104</v>
      </c>
    </row>
    <row r="73" spans="1:25" x14ac:dyDescent="0.25">
      <c r="C73" s="43"/>
      <c r="D73" s="43"/>
      <c r="E73" s="43"/>
      <c r="T73" s="30"/>
      <c r="U73" s="30"/>
      <c r="V73" s="30"/>
    </row>
    <row r="74" spans="1:25" x14ac:dyDescent="0.25">
      <c r="C74" s="44"/>
      <c r="D74" s="44"/>
      <c r="E74" s="44"/>
    </row>
    <row r="75" spans="1:25" x14ac:dyDescent="0.25">
      <c r="J75" s="46"/>
      <c r="K75" s="46"/>
      <c r="N75" s="23"/>
      <c r="O75" s="23"/>
    </row>
    <row r="76" spans="1:25" x14ac:dyDescent="0.25">
      <c r="L76" s="46"/>
      <c r="M76" s="46"/>
    </row>
  </sheetData>
  <mergeCells count="33">
    <mergeCell ref="B24:V24"/>
    <mergeCell ref="A65:A71"/>
    <mergeCell ref="A24:A30"/>
    <mergeCell ref="B62:V62"/>
    <mergeCell ref="A2:V2"/>
    <mergeCell ref="A4:A10"/>
    <mergeCell ref="B4:V4"/>
    <mergeCell ref="B9:V9"/>
    <mergeCell ref="A14:B14"/>
    <mergeCell ref="A15:A21"/>
    <mergeCell ref="B15:V15"/>
    <mergeCell ref="B20:V20"/>
    <mergeCell ref="A33:A39"/>
    <mergeCell ref="B33:V33"/>
    <mergeCell ref="B38:V38"/>
    <mergeCell ref="A23:B23"/>
    <mergeCell ref="A32:B32"/>
    <mergeCell ref="B65:V65"/>
    <mergeCell ref="B29:V29"/>
    <mergeCell ref="A56:B56"/>
    <mergeCell ref="A72:B72"/>
    <mergeCell ref="A40:B40"/>
    <mergeCell ref="A49:A55"/>
    <mergeCell ref="B49:V49"/>
    <mergeCell ref="B54:V54"/>
    <mergeCell ref="A64:B64"/>
    <mergeCell ref="A41:A47"/>
    <mergeCell ref="B41:V41"/>
    <mergeCell ref="B46:V46"/>
    <mergeCell ref="A48:B48"/>
    <mergeCell ref="A57:A63"/>
    <mergeCell ref="B57:V57"/>
    <mergeCell ref="B70:V7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85" zoomScaleNormal="85" workbookViewId="0">
      <selection activeCell="AH61" sqref="AH61"/>
    </sheetView>
  </sheetViews>
  <sheetFormatPr defaultRowHeight="15" x14ac:dyDescent="0.25"/>
  <cols>
    <col min="1" max="1" width="21" style="42" customWidth="1"/>
    <col min="2" max="2" width="10.28515625" style="42" customWidth="1"/>
    <col min="3" max="3" width="14.85546875" style="42" customWidth="1"/>
    <col min="4" max="4" width="17.42578125" style="42" hidden="1" customWidth="1"/>
    <col min="5" max="5" width="14.7109375" style="52" customWidth="1"/>
    <col min="6" max="6" width="14.7109375" style="52" hidden="1" customWidth="1"/>
    <col min="7" max="7" width="14.7109375" style="42" customWidth="1"/>
    <col min="8" max="8" width="14.7109375" style="42" hidden="1" customWidth="1"/>
    <col min="9" max="9" width="16" style="42" customWidth="1"/>
    <col min="10" max="11" width="16" style="42" hidden="1" customWidth="1"/>
    <col min="12" max="12" width="14.5703125" style="42" customWidth="1"/>
    <col min="13" max="14" width="14.5703125" style="42" hidden="1" customWidth="1"/>
    <col min="15" max="15" width="16.140625" style="42" customWidth="1"/>
    <col min="16" max="17" width="16.140625" style="42" hidden="1" customWidth="1"/>
    <col min="18" max="18" width="16.7109375" style="42" customWidth="1"/>
    <col min="19" max="20" width="16.7109375" style="42" hidden="1" customWidth="1"/>
    <col min="21" max="21" width="19.28515625" customWidth="1"/>
    <col min="22" max="23" width="19.28515625" hidden="1" customWidth="1"/>
    <col min="24" max="24" width="16.5703125" customWidth="1"/>
    <col min="25" max="26" width="16.5703125" hidden="1" customWidth="1"/>
    <col min="27" max="27" width="18.28515625" customWidth="1"/>
    <col min="28" max="29" width="18.28515625" hidden="1" customWidth="1"/>
    <col min="30" max="30" width="15.5703125" customWidth="1"/>
    <col min="31" max="32" width="15.5703125" hidden="1" customWidth="1"/>
    <col min="33" max="33" width="17.5703125" customWidth="1"/>
    <col min="34" max="34" width="9.140625" style="27"/>
    <col min="35" max="35" width="11.42578125" bestFit="1" customWidth="1"/>
    <col min="36" max="36" width="11.28515625" customWidth="1"/>
  </cols>
  <sheetData>
    <row r="1" spans="1:36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6" x14ac:dyDescent="0.25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6" ht="42.75" x14ac:dyDescent="0.25">
      <c r="A3" s="32" t="s">
        <v>0</v>
      </c>
      <c r="B3" s="33" t="s">
        <v>1</v>
      </c>
      <c r="C3" s="34" t="s">
        <v>2</v>
      </c>
      <c r="D3" s="34"/>
      <c r="E3" s="34" t="s">
        <v>3</v>
      </c>
      <c r="F3" s="34"/>
      <c r="G3" s="34" t="s">
        <v>4</v>
      </c>
      <c r="H3" s="34"/>
      <c r="I3" s="34" t="s">
        <v>5</v>
      </c>
      <c r="J3" s="34"/>
      <c r="K3" s="34"/>
      <c r="L3" s="34" t="s">
        <v>6</v>
      </c>
      <c r="M3" s="34"/>
      <c r="N3" s="34"/>
      <c r="O3" s="34" t="s">
        <v>7</v>
      </c>
      <c r="P3" s="34"/>
      <c r="Q3" s="34"/>
      <c r="R3" s="34" t="s">
        <v>8</v>
      </c>
      <c r="S3" s="34"/>
      <c r="T3" s="34"/>
      <c r="U3" s="12" t="s">
        <v>9</v>
      </c>
      <c r="V3" s="12"/>
      <c r="W3" s="12"/>
      <c r="X3" s="12" t="s">
        <v>10</v>
      </c>
      <c r="Y3" s="12"/>
      <c r="Z3" s="12"/>
      <c r="AA3" s="12" t="s">
        <v>11</v>
      </c>
      <c r="AB3" s="12"/>
      <c r="AC3" s="12"/>
      <c r="AD3" s="12" t="s">
        <v>12</v>
      </c>
      <c r="AE3" s="12"/>
      <c r="AF3" s="12"/>
      <c r="AG3" s="12" t="s">
        <v>13</v>
      </c>
    </row>
    <row r="4" spans="1:36" x14ac:dyDescent="0.25">
      <c r="A4" s="78" t="s">
        <v>30</v>
      </c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6" x14ac:dyDescent="0.25">
      <c r="A5" s="79"/>
      <c r="B5" s="35" t="s">
        <v>14</v>
      </c>
      <c r="C5" s="36">
        <v>112628430</v>
      </c>
      <c r="D5" s="36">
        <v>0.91373137929392656</v>
      </c>
      <c r="E5" s="36">
        <v>99303389.000000045</v>
      </c>
      <c r="F5" s="36">
        <v>1.0426801666443739</v>
      </c>
      <c r="G5" s="36">
        <v>105013388</v>
      </c>
      <c r="H5" s="36">
        <v>0.87846475831444515</v>
      </c>
      <c r="I5" s="36">
        <v>98327894</v>
      </c>
      <c r="J5" s="36"/>
      <c r="K5" s="36">
        <v>0.99030627493045442</v>
      </c>
      <c r="L5" s="36">
        <v>98832542.00000006</v>
      </c>
      <c r="M5" s="36"/>
      <c r="N5" s="36">
        <v>0.95042587261088107</v>
      </c>
      <c r="O5" s="36">
        <v>89533536.99999997</v>
      </c>
      <c r="P5" s="36"/>
      <c r="Q5" s="36">
        <v>1.0106306579248954</v>
      </c>
      <c r="R5" s="36">
        <v>87513276.000000089</v>
      </c>
      <c r="S5" s="36"/>
      <c r="T5" s="36">
        <v>1.015740272374333</v>
      </c>
      <c r="U5" s="13">
        <v>89142243</v>
      </c>
      <c r="V5" s="13"/>
      <c r="W5" s="13">
        <v>0.9833038138265342</v>
      </c>
      <c r="X5" s="13">
        <v>88960840</v>
      </c>
      <c r="Y5" s="13"/>
      <c r="Z5" s="13">
        <v>1.1193675349502901</v>
      </c>
      <c r="AA5" s="13">
        <v>100242486</v>
      </c>
      <c r="AB5" s="13"/>
      <c r="AC5" s="13">
        <v>1.0418618005309246</v>
      </c>
      <c r="AD5" s="13">
        <v>103141707</v>
      </c>
      <c r="AE5" s="13"/>
      <c r="AF5" s="13">
        <v>1.0760057751745977</v>
      </c>
      <c r="AG5" s="13">
        <v>105040003</v>
      </c>
      <c r="AH5" s="27">
        <f>'2022'!D5/'2021'!AG5</f>
        <v>1.008011138385059</v>
      </c>
      <c r="AJ5" s="23"/>
    </row>
    <row r="6" spans="1:36" x14ac:dyDescent="0.25">
      <c r="A6" s="79"/>
      <c r="B6" s="35" t="s">
        <v>15</v>
      </c>
      <c r="C6" s="36">
        <v>24577163</v>
      </c>
      <c r="D6" s="36">
        <v>0.91458706025945458</v>
      </c>
      <c r="E6" s="36">
        <v>20810307</v>
      </c>
      <c r="F6" s="36">
        <v>1.0949802192009603</v>
      </c>
      <c r="G6" s="36">
        <v>21224706</v>
      </c>
      <c r="H6" s="36">
        <v>0.80611934043430322</v>
      </c>
      <c r="I6" s="36">
        <v>18322737</v>
      </c>
      <c r="J6" s="36"/>
      <c r="K6" s="36">
        <v>0.8374590117913816</v>
      </c>
      <c r="L6" s="36">
        <v>17724904</v>
      </c>
      <c r="M6" s="36"/>
      <c r="N6" s="36">
        <v>1.0054902482633743</v>
      </c>
      <c r="O6" s="36">
        <v>16159055</v>
      </c>
      <c r="P6" s="36"/>
      <c r="Q6" s="36">
        <v>1.0998771558871079</v>
      </c>
      <c r="R6" s="36">
        <v>17070201</v>
      </c>
      <c r="S6" s="36"/>
      <c r="T6" s="36">
        <v>1.0293734296873449</v>
      </c>
      <c r="U6" s="13">
        <v>18659456</v>
      </c>
      <c r="V6" s="13"/>
      <c r="W6" s="13">
        <v>0.98728974947919268</v>
      </c>
      <c r="X6" s="13">
        <v>19319676</v>
      </c>
      <c r="Y6" s="13"/>
      <c r="Z6" s="13">
        <v>1.124641333731299</v>
      </c>
      <c r="AA6" s="13">
        <v>21271696</v>
      </c>
      <c r="AB6" s="13"/>
      <c r="AC6" s="13">
        <v>1.0998921891796922</v>
      </c>
      <c r="AD6" s="13">
        <v>22078038</v>
      </c>
      <c r="AE6" s="13"/>
      <c r="AF6" s="13">
        <v>1.099074088282797</v>
      </c>
      <c r="AG6" s="13">
        <v>24543709</v>
      </c>
      <c r="AH6" s="27">
        <f>'2022'!D6/'2021'!AG6</f>
        <v>0.99989414802791221</v>
      </c>
      <c r="AJ6" s="23"/>
    </row>
    <row r="7" spans="1:36" x14ac:dyDescent="0.25">
      <c r="A7" s="79"/>
      <c r="B7" s="35" t="s">
        <v>16</v>
      </c>
      <c r="C7" s="36">
        <v>1393392</v>
      </c>
      <c r="D7" s="36">
        <v>0.82628845018545261</v>
      </c>
      <c r="E7" s="36">
        <v>1307149</v>
      </c>
      <c r="F7" s="36">
        <v>0.88063236498321606</v>
      </c>
      <c r="G7" s="36">
        <v>1093169</v>
      </c>
      <c r="H7" s="36">
        <v>0.73707943008013055</v>
      </c>
      <c r="I7" s="36">
        <v>338408</v>
      </c>
      <c r="J7" s="36"/>
      <c r="K7" s="36">
        <v>1.1519149673859239</v>
      </c>
      <c r="L7" s="36">
        <v>285784</v>
      </c>
      <c r="M7" s="36"/>
      <c r="N7" s="36">
        <v>1.2421330335530312</v>
      </c>
      <c r="O7" s="36">
        <v>537390</v>
      </c>
      <c r="P7" s="36"/>
      <c r="Q7" s="36">
        <v>1.1466393209304362</v>
      </c>
      <c r="R7" s="36">
        <v>466777</v>
      </c>
      <c r="S7" s="36"/>
      <c r="T7" s="36">
        <v>1.1838688446119787</v>
      </c>
      <c r="U7" s="13">
        <v>49980</v>
      </c>
      <c r="V7" s="13"/>
      <c r="W7" s="13">
        <v>0.62637992476950177</v>
      </c>
      <c r="X7" s="13">
        <v>28200</v>
      </c>
      <c r="Y7" s="13"/>
      <c r="Z7" s="13">
        <v>0.99606349903947999</v>
      </c>
      <c r="AA7" s="13">
        <v>34831</v>
      </c>
      <c r="AB7" s="13"/>
      <c r="AC7" s="13">
        <v>1.1939507483574743</v>
      </c>
      <c r="AD7" s="13">
        <v>61795</v>
      </c>
      <c r="AE7" s="13"/>
      <c r="AF7" s="13">
        <v>1.9492273380152583</v>
      </c>
      <c r="AG7" s="13">
        <v>67670</v>
      </c>
      <c r="AH7" s="27">
        <f>'2022'!D7/'2021'!AG7</f>
        <v>1.0010048766070636</v>
      </c>
      <c r="AJ7" s="23"/>
    </row>
    <row r="8" spans="1:36" x14ac:dyDescent="0.25">
      <c r="A8" s="79"/>
      <c r="B8" s="35" t="s">
        <v>17</v>
      </c>
      <c r="C8" s="36">
        <v>2459</v>
      </c>
      <c r="D8" s="36">
        <v>0.90208333333333335</v>
      </c>
      <c r="E8" s="36">
        <v>1584</v>
      </c>
      <c r="F8" s="36">
        <v>0.66224018475750579</v>
      </c>
      <c r="G8" s="36">
        <v>1569</v>
      </c>
      <c r="H8" s="36">
        <v>0.59023539668700964</v>
      </c>
      <c r="I8" s="36">
        <v>938</v>
      </c>
      <c r="J8" s="36"/>
      <c r="K8" s="36">
        <v>0.2570162481536189</v>
      </c>
      <c r="L8" s="36">
        <v>449</v>
      </c>
      <c r="M8" s="36"/>
      <c r="N8" s="36">
        <v>1.0459770114942528</v>
      </c>
      <c r="O8" s="36">
        <v>195</v>
      </c>
      <c r="P8" s="36"/>
      <c r="Q8" s="36">
        <v>0.8351648351648352</v>
      </c>
      <c r="R8" s="36">
        <v>209</v>
      </c>
      <c r="S8" s="36"/>
      <c r="T8" s="36">
        <v>1.4342105263157894</v>
      </c>
      <c r="U8" s="13">
        <v>23</v>
      </c>
      <c r="V8" s="13"/>
      <c r="W8" s="13">
        <v>2.3715596330275228</v>
      </c>
      <c r="X8" s="13">
        <v>54</v>
      </c>
      <c r="Y8" s="13"/>
      <c r="Z8" s="13">
        <v>1.758220502901354</v>
      </c>
      <c r="AA8" s="13">
        <v>78</v>
      </c>
      <c r="AB8" s="13"/>
      <c r="AC8" s="13">
        <v>1.5698569856985698</v>
      </c>
      <c r="AD8" s="13">
        <v>126</v>
      </c>
      <c r="AE8" s="13"/>
      <c r="AF8" s="13">
        <v>0.99929922915206726</v>
      </c>
      <c r="AG8" s="13">
        <v>244</v>
      </c>
      <c r="AH8" s="27">
        <f>'2022'!D8/'2021'!AG8</f>
        <v>2.7663934426229506</v>
      </c>
      <c r="AJ8" s="23"/>
    </row>
    <row r="9" spans="1:36" x14ac:dyDescent="0.25">
      <c r="A9" s="79"/>
      <c r="B9" s="72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  <c r="AJ9" s="23"/>
    </row>
    <row r="10" spans="1:36" x14ac:dyDescent="0.25">
      <c r="A10" s="79"/>
      <c r="B10" s="35" t="s">
        <v>14</v>
      </c>
      <c r="C10" s="36">
        <v>5489</v>
      </c>
      <c r="D10" s="36">
        <v>1.2446851183313277</v>
      </c>
      <c r="E10" s="36">
        <v>4481</v>
      </c>
      <c r="F10" s="36">
        <v>0.91492104415082176</v>
      </c>
      <c r="G10" s="36">
        <v>4351</v>
      </c>
      <c r="H10" s="36">
        <v>0.60892920042268406</v>
      </c>
      <c r="I10" s="36">
        <v>4782</v>
      </c>
      <c r="J10" s="36"/>
      <c r="K10" s="36">
        <v>0.84164859002169201</v>
      </c>
      <c r="L10" s="36">
        <v>3417</v>
      </c>
      <c r="M10" s="36"/>
      <c r="N10" s="36">
        <v>0.71202749140893473</v>
      </c>
      <c r="O10" s="36">
        <v>4671</v>
      </c>
      <c r="P10" s="36"/>
      <c r="Q10" s="36">
        <v>0.71500965250965254</v>
      </c>
      <c r="R10" s="36">
        <v>4140</v>
      </c>
      <c r="S10" s="36"/>
      <c r="T10" s="36">
        <v>1.1187985150185622</v>
      </c>
      <c r="U10" s="13">
        <v>4131</v>
      </c>
      <c r="V10" s="13"/>
      <c r="W10" s="13">
        <v>1.3930618401206636</v>
      </c>
      <c r="X10" s="13">
        <v>4489</v>
      </c>
      <c r="Y10" s="13"/>
      <c r="Z10" s="13">
        <v>1.001948895625812</v>
      </c>
      <c r="AA10" s="13">
        <v>4757</v>
      </c>
      <c r="AB10" s="13"/>
      <c r="AC10" s="13">
        <v>0.90620272314674732</v>
      </c>
      <c r="AD10" s="13">
        <v>4247</v>
      </c>
      <c r="AE10" s="13"/>
      <c r="AF10" s="13">
        <v>1.3858812306224659</v>
      </c>
      <c r="AG10" s="13">
        <v>4647</v>
      </c>
      <c r="AH10" s="27">
        <f>'2022'!D10/'2021'!AG10</f>
        <v>1.272649020873682</v>
      </c>
      <c r="AJ10" s="23"/>
    </row>
    <row r="11" spans="1:36" x14ac:dyDescent="0.25">
      <c r="A11" s="47"/>
      <c r="B11" s="35" t="s">
        <v>15</v>
      </c>
      <c r="C11" s="36">
        <v>1960</v>
      </c>
      <c r="D11" s="36">
        <v>0.85074626865671643</v>
      </c>
      <c r="E11" s="36">
        <v>1600</v>
      </c>
      <c r="F11" s="36">
        <v>1.0526315789473684</v>
      </c>
      <c r="G11" s="36">
        <v>1680</v>
      </c>
      <c r="H11" s="36">
        <v>0.93333333333333335</v>
      </c>
      <c r="I11" s="36">
        <v>1440</v>
      </c>
      <c r="J11" s="36"/>
      <c r="K11" s="36">
        <v>1.0357142857142858</v>
      </c>
      <c r="L11" s="36">
        <v>1440</v>
      </c>
      <c r="M11" s="36"/>
      <c r="N11" s="36">
        <v>0.81034482758620685</v>
      </c>
      <c r="O11" s="36">
        <v>1320</v>
      </c>
      <c r="P11" s="36"/>
      <c r="Q11" s="36">
        <v>1.0638297872340425</v>
      </c>
      <c r="R11" s="36">
        <v>1320</v>
      </c>
      <c r="S11" s="36"/>
      <c r="T11" s="36">
        <v>0.96</v>
      </c>
      <c r="U11" s="13">
        <v>1520</v>
      </c>
      <c r="V11" s="13"/>
      <c r="W11" s="13">
        <v>1.125</v>
      </c>
      <c r="X11" s="13">
        <v>1120</v>
      </c>
      <c r="Y11" s="13"/>
      <c r="Z11" s="13">
        <v>1.037037037037037</v>
      </c>
      <c r="AA11" s="13">
        <v>1320</v>
      </c>
      <c r="AB11" s="13"/>
      <c r="AC11" s="13">
        <v>0.9821428571428571</v>
      </c>
      <c r="AD11" s="13">
        <v>1440</v>
      </c>
      <c r="AE11" s="13"/>
      <c r="AF11" s="13">
        <v>1.0363636363636364</v>
      </c>
      <c r="AG11" s="13">
        <v>1560</v>
      </c>
      <c r="AH11" s="27">
        <f>'2022'!D11/'2021'!AG11</f>
        <v>0.84615384615384615</v>
      </c>
      <c r="AJ11" s="23"/>
    </row>
    <row r="12" spans="1:36" x14ac:dyDescent="0.25">
      <c r="A12" s="47"/>
      <c r="B12" s="35" t="s">
        <v>46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>
        <v>0</v>
      </c>
      <c r="L12" s="36">
        <v>0</v>
      </c>
      <c r="M12" s="36"/>
      <c r="N12" s="36">
        <v>0</v>
      </c>
      <c r="O12" s="36">
        <v>0</v>
      </c>
      <c r="P12" s="36"/>
      <c r="Q12" s="36">
        <v>0</v>
      </c>
      <c r="R12" s="36">
        <v>0</v>
      </c>
      <c r="S12" s="36"/>
      <c r="T12" s="36">
        <v>0</v>
      </c>
      <c r="U12" s="13">
        <v>0</v>
      </c>
      <c r="V12" s="13"/>
      <c r="W12" s="13"/>
      <c r="X12" s="13"/>
      <c r="Y12" s="13"/>
      <c r="Z12" s="13"/>
      <c r="AA12" s="13">
        <v>0</v>
      </c>
      <c r="AB12" s="13"/>
      <c r="AC12" s="13">
        <v>0</v>
      </c>
      <c r="AD12" s="13">
        <v>0</v>
      </c>
      <c r="AE12" s="13"/>
      <c r="AF12" s="13">
        <v>0</v>
      </c>
      <c r="AG12" s="13">
        <v>0</v>
      </c>
      <c r="AH12" s="27" t="e">
        <f t="shared" ref="AH12:AH13" si="0">I12/G12</f>
        <v>#DIV/0!</v>
      </c>
      <c r="AJ12" s="23"/>
    </row>
    <row r="13" spans="1:36" x14ac:dyDescent="0.25">
      <c r="A13" s="47"/>
      <c r="B13" s="35" t="s">
        <v>17</v>
      </c>
      <c r="C13" s="36">
        <v>0</v>
      </c>
      <c r="D13" s="36">
        <v>0.91438979963570133</v>
      </c>
      <c r="E13" s="36">
        <v>0</v>
      </c>
      <c r="F13" s="36">
        <v>0.66035856573705176</v>
      </c>
      <c r="G13" s="36">
        <v>0</v>
      </c>
      <c r="H13" s="36">
        <v>2.1930618401206639</v>
      </c>
      <c r="I13" s="36">
        <v>0</v>
      </c>
      <c r="J13" s="36"/>
      <c r="K13" s="36">
        <v>0.7599724896836314</v>
      </c>
      <c r="L13" s="36">
        <v>0</v>
      </c>
      <c r="M13" s="36"/>
      <c r="N13" s="36">
        <v>0.84434389140271493</v>
      </c>
      <c r="O13" s="36">
        <v>0</v>
      </c>
      <c r="P13" s="36"/>
      <c r="Q13" s="36">
        <v>1</v>
      </c>
      <c r="R13" s="36">
        <v>0</v>
      </c>
      <c r="S13" s="36"/>
      <c r="T13" s="36">
        <v>0.91961414790996787</v>
      </c>
      <c r="U13" s="13">
        <v>0</v>
      </c>
      <c r="V13" s="13"/>
      <c r="W13" s="13">
        <v>1.0256410256410255</v>
      </c>
      <c r="X13" s="13">
        <f>U13*W13</f>
        <v>0</v>
      </c>
      <c r="Y13" s="13"/>
      <c r="Z13" s="13">
        <v>1.0306818181818183</v>
      </c>
      <c r="AA13" s="13">
        <v>0</v>
      </c>
      <c r="AB13" s="13"/>
      <c r="AC13" s="13">
        <v>1.0011025358324146</v>
      </c>
      <c r="AD13" s="13">
        <v>0</v>
      </c>
      <c r="AE13" s="13"/>
      <c r="AF13" s="13">
        <v>0.81277533039647576</v>
      </c>
      <c r="AG13" s="13">
        <v>0</v>
      </c>
      <c r="AH13" s="27" t="e">
        <f t="shared" si="0"/>
        <v>#DIV/0!</v>
      </c>
      <c r="AJ13" s="23"/>
    </row>
    <row r="14" spans="1:36" x14ac:dyDescent="0.25">
      <c r="A14" s="76" t="s">
        <v>18</v>
      </c>
      <c r="B14" s="77"/>
      <c r="C14" s="38">
        <f>SUM(C5:C8,C10:C13)</f>
        <v>138608893</v>
      </c>
      <c r="D14" s="38"/>
      <c r="E14" s="38">
        <f t="shared" ref="E14:AG14" si="1">SUM(E5:E8,E10:E13)</f>
        <v>121428510.00000004</v>
      </c>
      <c r="F14" s="38"/>
      <c r="G14" s="38">
        <f t="shared" si="1"/>
        <v>127338863</v>
      </c>
      <c r="H14" s="38"/>
      <c r="I14" s="38">
        <f t="shared" si="1"/>
        <v>116996199</v>
      </c>
      <c r="J14" s="38">
        <f t="shared" si="1"/>
        <v>0</v>
      </c>
      <c r="K14" s="38"/>
      <c r="L14" s="38">
        <f t="shared" si="1"/>
        <v>116848536.00000006</v>
      </c>
      <c r="M14" s="38">
        <f t="shared" si="1"/>
        <v>0</v>
      </c>
      <c r="N14" s="38"/>
      <c r="O14" s="38">
        <f t="shared" si="1"/>
        <v>106236167.99999997</v>
      </c>
      <c r="P14" s="38"/>
      <c r="Q14" s="38"/>
      <c r="R14" s="38">
        <f t="shared" si="1"/>
        <v>105055923.00000009</v>
      </c>
      <c r="S14" s="38"/>
      <c r="T14" s="38"/>
      <c r="U14" s="38">
        <f t="shared" si="1"/>
        <v>107857353</v>
      </c>
      <c r="V14" s="38"/>
      <c r="W14" s="38"/>
      <c r="X14" s="38">
        <f t="shared" si="1"/>
        <v>108314379</v>
      </c>
      <c r="Y14" s="38"/>
      <c r="Z14" s="38"/>
      <c r="AA14" s="38">
        <f t="shared" si="1"/>
        <v>121555168</v>
      </c>
      <c r="AB14" s="38"/>
      <c r="AC14" s="38"/>
      <c r="AD14" s="38">
        <f t="shared" si="1"/>
        <v>125287353</v>
      </c>
      <c r="AE14" s="38"/>
      <c r="AF14" s="38"/>
      <c r="AG14" s="38">
        <f t="shared" si="1"/>
        <v>129657833</v>
      </c>
      <c r="AI14" s="23"/>
      <c r="AJ14" s="23"/>
    </row>
    <row r="15" spans="1:36" x14ac:dyDescent="0.25">
      <c r="A15" s="78" t="s">
        <v>25</v>
      </c>
      <c r="B15" s="72" t="s">
        <v>19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J15" s="23"/>
    </row>
    <row r="16" spans="1:36" x14ac:dyDescent="0.25">
      <c r="A16" s="79"/>
      <c r="B16" s="35" t="s">
        <v>14</v>
      </c>
      <c r="C16" s="36">
        <v>2008232</v>
      </c>
      <c r="D16" s="36">
        <v>0.92616233558338457</v>
      </c>
      <c r="E16" s="36">
        <v>1813091</v>
      </c>
      <c r="F16" s="36">
        <v>1.0313455643655507</v>
      </c>
      <c r="G16" s="36">
        <v>1851391</v>
      </c>
      <c r="H16" s="36">
        <v>0.83996560488317062</v>
      </c>
      <c r="I16" s="36">
        <v>1695006</v>
      </c>
      <c r="J16" s="36"/>
      <c r="K16" s="36">
        <v>0.90442206218979793</v>
      </c>
      <c r="L16" s="36">
        <v>1501087</v>
      </c>
      <c r="M16" s="36"/>
      <c r="N16" s="36">
        <v>0.92159160645962579</v>
      </c>
      <c r="O16" s="36">
        <v>1286168</v>
      </c>
      <c r="P16" s="36"/>
      <c r="Q16" s="36">
        <v>0.98446464692037572</v>
      </c>
      <c r="R16" s="36">
        <v>1152240</v>
      </c>
      <c r="S16" s="36"/>
      <c r="T16" s="36">
        <v>1.0897258652164283</v>
      </c>
      <c r="U16" s="13">
        <v>1114370</v>
      </c>
      <c r="V16" s="13"/>
      <c r="W16" s="13">
        <v>1.150119313526665</v>
      </c>
      <c r="X16" s="13">
        <v>1313940</v>
      </c>
      <c r="Y16" s="13"/>
      <c r="Z16" s="13">
        <v>1.1901464482887281</v>
      </c>
      <c r="AA16" s="13">
        <v>1629139</v>
      </c>
      <c r="AB16" s="13"/>
      <c r="AC16" s="13">
        <v>0.95434091065557025</v>
      </c>
      <c r="AD16" s="13">
        <v>1622543</v>
      </c>
      <c r="AE16" s="13"/>
      <c r="AF16" s="13">
        <v>1.1513366560942455</v>
      </c>
      <c r="AG16" s="13">
        <v>1778189</v>
      </c>
      <c r="AH16" s="27">
        <f>'2022'!D16/'2021'!AG16</f>
        <v>0.54686875242170541</v>
      </c>
      <c r="AJ16" s="23"/>
    </row>
    <row r="17" spans="1:36" x14ac:dyDescent="0.25">
      <c r="A17" s="79"/>
      <c r="B17" s="35" t="s">
        <v>15</v>
      </c>
      <c r="C17" s="36">
        <v>299618</v>
      </c>
      <c r="D17" s="36">
        <v>0.7538072618295244</v>
      </c>
      <c r="E17" s="36">
        <v>244100</v>
      </c>
      <c r="F17" s="36">
        <v>0.97231011945007884</v>
      </c>
      <c r="G17" s="36">
        <v>205823</v>
      </c>
      <c r="H17" s="36">
        <v>0.64976101841850287</v>
      </c>
      <c r="I17" s="36">
        <v>132523</v>
      </c>
      <c r="J17" s="36"/>
      <c r="K17" s="36">
        <v>0.62731346052312387</v>
      </c>
      <c r="L17" s="36">
        <v>82973</v>
      </c>
      <c r="M17" s="36"/>
      <c r="N17" s="36">
        <v>0.70645906076908205</v>
      </c>
      <c r="O17" s="36">
        <v>66759</v>
      </c>
      <c r="P17" s="36"/>
      <c r="Q17" s="36">
        <v>1.0247770228933897</v>
      </c>
      <c r="R17" s="36">
        <v>60402</v>
      </c>
      <c r="S17" s="36"/>
      <c r="T17" s="36">
        <v>1.3930529590121439</v>
      </c>
      <c r="U17" s="13">
        <v>64753</v>
      </c>
      <c r="V17" s="13"/>
      <c r="W17" s="13">
        <v>1.1704822266329844</v>
      </c>
      <c r="X17" s="13">
        <v>84324</v>
      </c>
      <c r="Y17" s="13"/>
      <c r="Z17" s="13">
        <v>1.4390060603724866</v>
      </c>
      <c r="AA17" s="13">
        <v>117064</v>
      </c>
      <c r="AB17" s="13"/>
      <c r="AC17" s="13">
        <v>1.2876272990833797</v>
      </c>
      <c r="AD17" s="13">
        <v>183104</v>
      </c>
      <c r="AE17" s="13"/>
      <c r="AF17" s="13">
        <v>1.4505150511411204</v>
      </c>
      <c r="AG17" s="13">
        <v>241859</v>
      </c>
      <c r="AH17" s="27">
        <f>'2022'!D17/'2021'!AG17</f>
        <v>1.1543585312103333</v>
      </c>
      <c r="AJ17" s="23"/>
    </row>
    <row r="18" spans="1:36" x14ac:dyDescent="0.25">
      <c r="A18" s="79"/>
      <c r="B18" s="35" t="s">
        <v>16</v>
      </c>
      <c r="C18" s="36">
        <v>2312262</v>
      </c>
      <c r="D18" s="36">
        <v>0.89984790797674663</v>
      </c>
      <c r="E18" s="36">
        <v>1971737</v>
      </c>
      <c r="F18" s="36">
        <v>0.96663639098954668</v>
      </c>
      <c r="G18" s="36">
        <v>1960530</v>
      </c>
      <c r="H18" s="36">
        <v>0.78859095816006919</v>
      </c>
      <c r="I18" s="36">
        <v>1650709</v>
      </c>
      <c r="J18" s="36"/>
      <c r="K18" s="36">
        <v>0.86934873567847104</v>
      </c>
      <c r="L18" s="36">
        <v>1449806</v>
      </c>
      <c r="M18" s="36"/>
      <c r="N18" s="36">
        <v>0.99976062415662381</v>
      </c>
      <c r="O18" s="36">
        <v>1338060</v>
      </c>
      <c r="P18" s="36"/>
      <c r="Q18" s="36">
        <v>1.0191362890261924</v>
      </c>
      <c r="R18" s="36">
        <v>1372176</v>
      </c>
      <c r="S18" s="36"/>
      <c r="T18" s="36">
        <v>0.98024447342851861</v>
      </c>
      <c r="U18" s="13">
        <v>1441923</v>
      </c>
      <c r="V18" s="13"/>
      <c r="W18" s="13">
        <v>1.108572911246352</v>
      </c>
      <c r="X18" s="13">
        <v>1556139</v>
      </c>
      <c r="Y18" s="13"/>
      <c r="Z18" s="13">
        <v>1.1540183966719406</v>
      </c>
      <c r="AA18" s="13">
        <v>1855309.9999999998</v>
      </c>
      <c r="AB18" s="13"/>
      <c r="AC18" s="13">
        <v>1.0864972793619461</v>
      </c>
      <c r="AD18" s="13">
        <v>2094208.9999999998</v>
      </c>
      <c r="AE18" s="13"/>
      <c r="AF18" s="13">
        <v>1.2176677844924184</v>
      </c>
      <c r="AG18" s="13">
        <v>2281732.9999999995</v>
      </c>
      <c r="AH18" s="27">
        <f>'2022'!D18/'2021'!AG18</f>
        <v>0.99642990656663155</v>
      </c>
      <c r="AJ18" s="23"/>
    </row>
    <row r="19" spans="1:36" x14ac:dyDescent="0.25">
      <c r="A19" s="79"/>
      <c r="B19" s="35" t="s">
        <v>17</v>
      </c>
      <c r="C19" s="36">
        <v>599990</v>
      </c>
      <c r="D19" s="36">
        <v>0.90698681805535497</v>
      </c>
      <c r="E19" s="36">
        <v>506291</v>
      </c>
      <c r="F19" s="36">
        <v>0.94101064697248571</v>
      </c>
      <c r="G19" s="36">
        <v>496492</v>
      </c>
      <c r="H19" s="36">
        <v>0.78247216789218721</v>
      </c>
      <c r="I19" s="36">
        <v>414198</v>
      </c>
      <c r="J19" s="36"/>
      <c r="K19" s="36">
        <v>0.83375169409742167</v>
      </c>
      <c r="L19" s="36">
        <v>331511</v>
      </c>
      <c r="M19" s="36"/>
      <c r="N19" s="36">
        <v>0.98137612386822559</v>
      </c>
      <c r="O19" s="36">
        <v>317972</v>
      </c>
      <c r="P19" s="36"/>
      <c r="Q19" s="36">
        <v>1.0193768972473398</v>
      </c>
      <c r="R19" s="36">
        <v>318406</v>
      </c>
      <c r="S19" s="36"/>
      <c r="T19" s="36">
        <v>0.98976072531620363</v>
      </c>
      <c r="U19" s="13">
        <v>312819</v>
      </c>
      <c r="V19" s="13"/>
      <c r="W19" s="13">
        <v>1.1122162175973835</v>
      </c>
      <c r="X19" s="13">
        <v>350398</v>
      </c>
      <c r="Y19" s="13"/>
      <c r="Z19" s="13">
        <v>1.2212212758381049</v>
      </c>
      <c r="AA19" s="13">
        <v>411432</v>
      </c>
      <c r="AB19" s="13"/>
      <c r="AC19" s="13">
        <v>1.1040984242618064</v>
      </c>
      <c r="AD19" s="13">
        <v>481190</v>
      </c>
      <c r="AE19" s="13"/>
      <c r="AF19" s="13">
        <v>1.2101761335803891</v>
      </c>
      <c r="AG19" s="13">
        <v>470144</v>
      </c>
      <c r="AH19" s="27">
        <f>'2022'!D19/'2021'!AG19</f>
        <v>1.0673070378437246</v>
      </c>
      <c r="AJ19" s="23"/>
    </row>
    <row r="20" spans="1:36" x14ac:dyDescent="0.25">
      <c r="A20" s="79"/>
      <c r="B20" s="72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4"/>
      <c r="AJ20" s="23"/>
    </row>
    <row r="21" spans="1:36" x14ac:dyDescent="0.25">
      <c r="A21" s="80"/>
      <c r="B21" s="39" t="s">
        <v>16</v>
      </c>
      <c r="C21" s="36">
        <v>481747</v>
      </c>
      <c r="D21" s="36">
        <v>0.8448154586759663</v>
      </c>
      <c r="E21" s="36">
        <v>403386</v>
      </c>
      <c r="F21" s="36">
        <v>0.86941117639704968</v>
      </c>
      <c r="G21" s="36">
        <v>396277.99999999994</v>
      </c>
      <c r="H21" s="36">
        <v>1.6054537977286387</v>
      </c>
      <c r="I21" s="36">
        <v>431370</v>
      </c>
      <c r="J21" s="36"/>
      <c r="K21" s="36">
        <v>2.2803027317510076</v>
      </c>
      <c r="L21" s="36">
        <v>1090418.0000000002</v>
      </c>
      <c r="M21" s="36"/>
      <c r="N21" s="36">
        <v>0.95503068000336222</v>
      </c>
      <c r="O21" s="36">
        <v>1177348</v>
      </c>
      <c r="P21" s="36"/>
      <c r="Q21" s="36">
        <v>0.94577761253695281</v>
      </c>
      <c r="R21" s="36">
        <v>1141247.9999999998</v>
      </c>
      <c r="S21" s="36"/>
      <c r="T21" s="36">
        <v>0.98520891205012306</v>
      </c>
      <c r="U21" s="13">
        <v>1136705.0000000002</v>
      </c>
      <c r="V21" s="13"/>
      <c r="W21" s="13">
        <v>0.83973439429664543</v>
      </c>
      <c r="X21" s="13">
        <v>955917</v>
      </c>
      <c r="Y21" s="13"/>
      <c r="Z21" s="13">
        <v>0.54014004627561218</v>
      </c>
      <c r="AA21" s="13">
        <v>498592.99999999994</v>
      </c>
      <c r="AB21" s="13"/>
      <c r="AC21" s="13">
        <v>0.70540976076853013</v>
      </c>
      <c r="AD21" s="13">
        <v>380710</v>
      </c>
      <c r="AE21" s="13"/>
      <c r="AF21" s="13">
        <v>1.1623267337659471</v>
      </c>
      <c r="AG21" s="13">
        <v>406918</v>
      </c>
      <c r="AH21" s="27">
        <f>'2022'!D21/'2021'!AG21</f>
        <v>1.0960046004354687</v>
      </c>
      <c r="AJ21" s="23"/>
    </row>
    <row r="22" spans="1:36" x14ac:dyDescent="0.25">
      <c r="A22" s="47"/>
      <c r="B22" s="39" t="s">
        <v>17</v>
      </c>
      <c r="C22" s="36">
        <v>1448990.9999999998</v>
      </c>
      <c r="D22" s="36">
        <v>0.87056406264755448</v>
      </c>
      <c r="E22" s="36">
        <v>1224485.0000000002</v>
      </c>
      <c r="F22" s="36">
        <v>0.72868027980119388</v>
      </c>
      <c r="G22" s="36">
        <v>1130687</v>
      </c>
      <c r="H22" s="36">
        <v>0.96650068884255502</v>
      </c>
      <c r="I22" s="36">
        <v>1021189.9999999999</v>
      </c>
      <c r="J22" s="36"/>
      <c r="K22" s="36">
        <v>0.94574474142847942</v>
      </c>
      <c r="L22" s="36">
        <v>990550</v>
      </c>
      <c r="M22" s="36"/>
      <c r="N22" s="36">
        <v>0.9610069783739501</v>
      </c>
      <c r="O22" s="36">
        <v>975978.00000000012</v>
      </c>
      <c r="P22" s="36"/>
      <c r="Q22" s="36">
        <v>0.98159763769418396</v>
      </c>
      <c r="R22" s="36">
        <v>928149</v>
      </c>
      <c r="S22" s="36"/>
      <c r="T22" s="36">
        <v>1.0570446203233623</v>
      </c>
      <c r="U22" s="13">
        <v>942190</v>
      </c>
      <c r="V22" s="13"/>
      <c r="W22" s="13">
        <v>1.0899442303009428</v>
      </c>
      <c r="X22" s="13">
        <v>985839</v>
      </c>
      <c r="Y22" s="13"/>
      <c r="Z22" s="13">
        <v>0.99374256418639695</v>
      </c>
      <c r="AA22" s="13">
        <v>1051014.0000000002</v>
      </c>
      <c r="AB22" s="13"/>
      <c r="AC22" s="13">
        <v>1.0508417108389696</v>
      </c>
      <c r="AD22" s="13">
        <v>1057571</v>
      </c>
      <c r="AE22" s="13"/>
      <c r="AF22" s="13">
        <v>1.1374854217706774</v>
      </c>
      <c r="AG22" s="13">
        <v>1115843.9999999998</v>
      </c>
      <c r="AH22" s="27">
        <f>'2022'!D22/'2021'!AG22</f>
        <v>1.0397394259412607</v>
      </c>
      <c r="AJ22" s="23"/>
    </row>
    <row r="23" spans="1:36" x14ac:dyDescent="0.25">
      <c r="A23" s="76" t="s">
        <v>18</v>
      </c>
      <c r="B23" s="77"/>
      <c r="C23" s="38">
        <f>SUM(C16:C19,C21:C22)</f>
        <v>7150840</v>
      </c>
      <c r="D23" s="38"/>
      <c r="E23" s="38">
        <f t="shared" ref="E23:O23" si="2">SUM(E16:E19,E21:E22)</f>
        <v>6163090</v>
      </c>
      <c r="F23" s="38"/>
      <c r="G23" s="38">
        <f t="shared" si="2"/>
        <v>6041201</v>
      </c>
      <c r="H23" s="38"/>
      <c r="I23" s="38">
        <f t="shared" si="2"/>
        <v>5344996</v>
      </c>
      <c r="J23" s="38"/>
      <c r="K23" s="38"/>
      <c r="L23" s="38">
        <f t="shared" si="2"/>
        <v>5446345</v>
      </c>
      <c r="M23" s="38"/>
      <c r="N23" s="38"/>
      <c r="O23" s="38">
        <f t="shared" si="2"/>
        <v>5162285</v>
      </c>
      <c r="P23" s="38"/>
      <c r="Q23" s="38"/>
      <c r="R23" s="38">
        <f>SUM(R16:R19,R21:R22)</f>
        <v>4972621</v>
      </c>
      <c r="S23" s="38"/>
      <c r="T23" s="38"/>
      <c r="U23" s="14">
        <f>SUM(U16:U19,U21:U22)</f>
        <v>5012760</v>
      </c>
      <c r="V23" s="14"/>
      <c r="W23" s="14"/>
      <c r="X23" s="14">
        <f t="shared" ref="X23:AG23" si="3">SUM(X16:X19,X21:X22)</f>
        <v>5246557</v>
      </c>
      <c r="Y23" s="14"/>
      <c r="Z23" s="14"/>
      <c r="AA23" s="14">
        <f t="shared" si="3"/>
        <v>5562552</v>
      </c>
      <c r="AB23" s="14"/>
      <c r="AC23" s="14"/>
      <c r="AD23" s="14">
        <f t="shared" si="3"/>
        <v>5819327</v>
      </c>
      <c r="AE23" s="14"/>
      <c r="AF23" s="14"/>
      <c r="AG23" s="14">
        <f t="shared" si="3"/>
        <v>6294687</v>
      </c>
      <c r="AJ23" s="23"/>
    </row>
    <row r="24" spans="1:36" x14ac:dyDescent="0.25">
      <c r="A24" s="78" t="s">
        <v>26</v>
      </c>
      <c r="B24" s="72" t="s">
        <v>19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4"/>
      <c r="AJ24" s="23"/>
    </row>
    <row r="25" spans="1:36" x14ac:dyDescent="0.25">
      <c r="A25" s="79"/>
      <c r="B25" s="35" t="s">
        <v>14</v>
      </c>
      <c r="C25" s="36"/>
      <c r="D25" s="36"/>
      <c r="E25" s="36"/>
      <c r="F25" s="36"/>
      <c r="G25" s="36">
        <v>0</v>
      </c>
      <c r="H25" s="36"/>
      <c r="I25" s="36">
        <v>0</v>
      </c>
      <c r="J25" s="36"/>
      <c r="K25" s="36"/>
      <c r="L25" s="36">
        <v>0</v>
      </c>
      <c r="M25" s="36"/>
      <c r="N25" s="36"/>
      <c r="O25" s="36"/>
      <c r="P25" s="36"/>
      <c r="Q25" s="36"/>
      <c r="R25" s="36"/>
      <c r="S25" s="36"/>
      <c r="T25" s="36"/>
      <c r="U25" s="13"/>
      <c r="V25" s="13"/>
      <c r="W25" s="13"/>
      <c r="X25" s="13">
        <v>0</v>
      </c>
      <c r="Y25" s="13"/>
      <c r="Z25" s="13"/>
      <c r="AA25" s="13"/>
      <c r="AB25" s="13"/>
      <c r="AC25" s="13"/>
      <c r="AD25" s="13">
        <v>0</v>
      </c>
      <c r="AE25" s="13"/>
      <c r="AF25" s="13"/>
      <c r="AG25" s="13"/>
      <c r="AJ25" s="23"/>
    </row>
    <row r="26" spans="1:36" x14ac:dyDescent="0.25">
      <c r="A26" s="79"/>
      <c r="B26" s="35" t="s">
        <v>15</v>
      </c>
      <c r="C26" s="36">
        <v>3744</v>
      </c>
      <c r="D26" s="36">
        <v>0.88371380419794698</v>
      </c>
      <c r="E26" s="36">
        <v>4486</v>
      </c>
      <c r="F26" s="36">
        <v>0.81328016643550627</v>
      </c>
      <c r="G26" s="36">
        <v>3982</v>
      </c>
      <c r="H26" s="36">
        <v>0.84139842251119168</v>
      </c>
      <c r="I26" s="36">
        <v>4254</v>
      </c>
      <c r="J26" s="36"/>
      <c r="K26" s="36">
        <v>0.7137066126171776</v>
      </c>
      <c r="L26" s="36">
        <v>1806</v>
      </c>
      <c r="M26" s="36"/>
      <c r="N26" s="36">
        <v>0.9208377706780263</v>
      </c>
      <c r="O26" s="36">
        <v>1502</v>
      </c>
      <c r="P26" s="36"/>
      <c r="Q26" s="36">
        <v>0.76252891287586744</v>
      </c>
      <c r="R26" s="36">
        <v>2004</v>
      </c>
      <c r="S26" s="36"/>
      <c r="T26" s="36">
        <v>1.128412537917088</v>
      </c>
      <c r="U26" s="13">
        <v>1837</v>
      </c>
      <c r="V26" s="13"/>
      <c r="W26" s="13">
        <v>1.0913978494623655</v>
      </c>
      <c r="X26" s="13">
        <v>541</v>
      </c>
      <c r="Y26" s="13"/>
      <c r="Z26" s="13">
        <v>0.98645320197044339</v>
      </c>
      <c r="AA26" s="13">
        <v>1994</v>
      </c>
      <c r="AB26" s="13"/>
      <c r="AC26" s="13">
        <v>1.4419475655430711</v>
      </c>
      <c r="AD26" s="13">
        <v>2950</v>
      </c>
      <c r="AE26" s="13"/>
      <c r="AF26" s="13">
        <v>1.3157287157287156</v>
      </c>
      <c r="AG26" s="13">
        <v>3741</v>
      </c>
      <c r="AH26" s="27">
        <f>'2022'!D26/'2021'!AG26</f>
        <v>0.80085538626035824</v>
      </c>
      <c r="AI26" s="23"/>
      <c r="AJ26" s="23"/>
    </row>
    <row r="27" spans="1:36" x14ac:dyDescent="0.25">
      <c r="A27" s="79"/>
      <c r="B27" s="35" t="s">
        <v>16</v>
      </c>
      <c r="C27" s="36">
        <v>46860</v>
      </c>
      <c r="D27" s="36">
        <v>0.92426832154408478</v>
      </c>
      <c r="E27" s="36">
        <v>42629</v>
      </c>
      <c r="F27" s="36">
        <v>1.1654954621753109</v>
      </c>
      <c r="G27" s="36">
        <v>37627</v>
      </c>
      <c r="H27" s="36">
        <v>0.99753454083874438</v>
      </c>
      <c r="I27" s="36">
        <v>35864</v>
      </c>
      <c r="J27" s="36"/>
      <c r="K27" s="36">
        <v>0.80545699253640035</v>
      </c>
      <c r="L27" s="36">
        <v>27011</v>
      </c>
      <c r="M27" s="36"/>
      <c r="N27" s="36">
        <v>0.92176819079447059</v>
      </c>
      <c r="O27" s="36">
        <v>21521</v>
      </c>
      <c r="P27" s="36"/>
      <c r="Q27" s="36">
        <v>1.0444957152274226</v>
      </c>
      <c r="R27" s="36">
        <v>23417</v>
      </c>
      <c r="S27" s="36"/>
      <c r="T27" s="36">
        <v>1.0147365099400443</v>
      </c>
      <c r="U27" s="13">
        <v>25761</v>
      </c>
      <c r="V27" s="13"/>
      <c r="W27" s="13">
        <v>1.089063034487048</v>
      </c>
      <c r="X27" s="13">
        <v>31326</v>
      </c>
      <c r="Y27" s="13"/>
      <c r="Z27" s="13">
        <v>1.2573027612004226</v>
      </c>
      <c r="AA27" s="13">
        <v>35886</v>
      </c>
      <c r="AB27" s="13"/>
      <c r="AC27" s="13">
        <v>1.0006813226744187</v>
      </c>
      <c r="AD27" s="13">
        <v>36202</v>
      </c>
      <c r="AE27" s="13"/>
      <c r="AF27" s="13">
        <v>1.0503608551586401</v>
      </c>
      <c r="AG27" s="13">
        <v>46749</v>
      </c>
      <c r="AH27" s="27">
        <f>'2022'!D27/'2021'!AG27</f>
        <v>1.1426554578707566</v>
      </c>
      <c r="AJ27" s="23"/>
    </row>
    <row r="28" spans="1:36" x14ac:dyDescent="0.25">
      <c r="A28" s="79"/>
      <c r="B28" s="35" t="s">
        <v>17</v>
      </c>
      <c r="C28" s="36">
        <v>166870</v>
      </c>
      <c r="D28" s="36">
        <v>0.91445728225611878</v>
      </c>
      <c r="E28" s="36">
        <v>148290</v>
      </c>
      <c r="F28" s="36">
        <v>0.93094512195121948</v>
      </c>
      <c r="G28" s="36">
        <v>141472</v>
      </c>
      <c r="H28" s="36">
        <v>0.68866748120063992</v>
      </c>
      <c r="I28" s="36">
        <v>115778</v>
      </c>
      <c r="J28" s="36"/>
      <c r="K28" s="36">
        <v>0.69034641694406851</v>
      </c>
      <c r="L28" s="36">
        <v>93823</v>
      </c>
      <c r="M28" s="36"/>
      <c r="N28" s="36">
        <v>1.0533859686307758</v>
      </c>
      <c r="O28" s="36">
        <v>84681</v>
      </c>
      <c r="P28" s="36"/>
      <c r="Q28" s="36">
        <v>1.050101863728967</v>
      </c>
      <c r="R28" s="36">
        <v>84250</v>
      </c>
      <c r="S28" s="36"/>
      <c r="T28" s="36">
        <v>1.0082273478479558</v>
      </c>
      <c r="U28" s="13">
        <v>84886</v>
      </c>
      <c r="V28" s="13"/>
      <c r="W28" s="13">
        <v>1.1515043533003124</v>
      </c>
      <c r="X28" s="13">
        <v>91898</v>
      </c>
      <c r="Y28" s="13"/>
      <c r="Z28" s="13">
        <v>1.1762563954447929</v>
      </c>
      <c r="AA28" s="13">
        <v>95064</v>
      </c>
      <c r="AB28" s="13"/>
      <c r="AC28" s="13">
        <v>1.1877822697336688</v>
      </c>
      <c r="AD28" s="13">
        <v>117484</v>
      </c>
      <c r="AE28" s="13"/>
      <c r="AF28" s="13">
        <v>1.2287292165027612</v>
      </c>
      <c r="AG28" s="13">
        <v>181121</v>
      </c>
      <c r="AH28" s="27">
        <f>'2022'!D28/'2021'!AG28</f>
        <v>0.85579253648113696</v>
      </c>
      <c r="AJ28" s="23"/>
    </row>
    <row r="29" spans="1:36" x14ac:dyDescent="0.25">
      <c r="A29" s="79"/>
      <c r="B29" s="72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4"/>
      <c r="AI29" s="23"/>
      <c r="AJ29" s="23"/>
    </row>
    <row r="30" spans="1:36" x14ac:dyDescent="0.25">
      <c r="A30" s="79"/>
      <c r="B30" s="35" t="s">
        <v>16</v>
      </c>
      <c r="C30" s="36">
        <v>15700</v>
      </c>
      <c r="D30" s="36">
        <v>0.72619047619047616</v>
      </c>
      <c r="E30" s="36">
        <v>12150</v>
      </c>
      <c r="F30" s="36">
        <v>0.95081967213114749</v>
      </c>
      <c r="G30" s="36">
        <v>9850</v>
      </c>
      <c r="H30" s="36">
        <v>0.93534482758620685</v>
      </c>
      <c r="I30" s="36">
        <v>12350</v>
      </c>
      <c r="J30" s="36"/>
      <c r="K30" s="36">
        <v>0.78801843317972353</v>
      </c>
      <c r="L30" s="36">
        <v>8550</v>
      </c>
      <c r="M30" s="36"/>
      <c r="N30" s="36">
        <v>2.2163742690058479</v>
      </c>
      <c r="O30" s="36">
        <v>27050</v>
      </c>
      <c r="P30" s="36"/>
      <c r="Q30" s="36">
        <v>0.41952506596306066</v>
      </c>
      <c r="R30" s="36">
        <v>20550</v>
      </c>
      <c r="S30" s="36"/>
      <c r="T30" s="36">
        <v>2.3207547169811322</v>
      </c>
      <c r="U30" s="13">
        <v>16550</v>
      </c>
      <c r="V30" s="13"/>
      <c r="W30" s="13">
        <v>0.85365853658536583</v>
      </c>
      <c r="X30" s="13">
        <v>18100</v>
      </c>
      <c r="Y30" s="13"/>
      <c r="Z30" s="13">
        <v>0.86349206349206353</v>
      </c>
      <c r="AA30" s="13">
        <v>12600</v>
      </c>
      <c r="AB30" s="13"/>
      <c r="AC30" s="13">
        <v>0.8529411764705882</v>
      </c>
      <c r="AD30" s="13">
        <v>13150</v>
      </c>
      <c r="AE30" s="13"/>
      <c r="AF30" s="13">
        <v>0.85344827586206895</v>
      </c>
      <c r="AG30" s="13">
        <v>14300</v>
      </c>
      <c r="AH30" s="27">
        <f>'2022'!D30/'2021'!AG30</f>
        <v>0.91958041958041958</v>
      </c>
      <c r="AJ30" s="23"/>
    </row>
    <row r="31" spans="1:36" x14ac:dyDescent="0.25">
      <c r="A31" s="49"/>
      <c r="B31" s="35" t="s">
        <v>17</v>
      </c>
      <c r="C31" s="36">
        <v>401416</v>
      </c>
      <c r="D31" s="36">
        <v>0.97757412566249446</v>
      </c>
      <c r="E31" s="36">
        <v>387686</v>
      </c>
      <c r="F31" s="36">
        <v>0.92371744497098718</v>
      </c>
      <c r="G31" s="36">
        <v>370896</v>
      </c>
      <c r="H31" s="36">
        <v>1.0235543830401568</v>
      </c>
      <c r="I31" s="36">
        <v>340868</v>
      </c>
      <c r="J31" s="36"/>
      <c r="K31" s="36">
        <v>1.0042621666246887</v>
      </c>
      <c r="L31" s="36">
        <v>375166</v>
      </c>
      <c r="M31" s="36"/>
      <c r="N31" s="36">
        <v>1.0822007897384165</v>
      </c>
      <c r="O31" s="36">
        <v>378370</v>
      </c>
      <c r="P31" s="36"/>
      <c r="Q31" s="36">
        <v>0.93182198578090436</v>
      </c>
      <c r="R31" s="36">
        <v>356726</v>
      </c>
      <c r="S31" s="36"/>
      <c r="T31" s="36">
        <v>0.9899357234838646</v>
      </c>
      <c r="U31" s="13">
        <v>353182</v>
      </c>
      <c r="V31" s="13"/>
      <c r="W31" s="13">
        <v>1.0722046048370888</v>
      </c>
      <c r="X31" s="13">
        <v>373753</v>
      </c>
      <c r="Y31" s="13"/>
      <c r="Z31" s="13">
        <v>0.91255877406286934</v>
      </c>
      <c r="AA31" s="13">
        <v>351503</v>
      </c>
      <c r="AB31" s="13"/>
      <c r="AC31" s="13">
        <v>1.0486659515223444</v>
      </c>
      <c r="AD31" s="13">
        <v>373245</v>
      </c>
      <c r="AE31" s="13"/>
      <c r="AF31" s="13">
        <v>1.0201866311178822</v>
      </c>
      <c r="AG31" s="13">
        <v>360354</v>
      </c>
      <c r="AH31" s="27">
        <f>'2022'!D31/'2021'!AG31</f>
        <v>1.0997019597395894</v>
      </c>
      <c r="AJ31" s="23"/>
    </row>
    <row r="32" spans="1:36" s="30" customFormat="1" x14ac:dyDescent="0.25">
      <c r="A32" s="76" t="s">
        <v>18</v>
      </c>
      <c r="B32" s="77"/>
      <c r="C32" s="38">
        <f>SUM(C25:C28,C30:C31)</f>
        <v>634590</v>
      </c>
      <c r="D32" s="38"/>
      <c r="E32" s="38">
        <f t="shared" ref="E32:I32" si="4">SUM(E25:E28,E30:E31)</f>
        <v>595241</v>
      </c>
      <c r="F32" s="38"/>
      <c r="G32" s="38">
        <f t="shared" si="4"/>
        <v>563827</v>
      </c>
      <c r="H32" s="38"/>
      <c r="I32" s="38">
        <f t="shared" si="4"/>
        <v>509114</v>
      </c>
      <c r="J32" s="38"/>
      <c r="K32" s="38"/>
      <c r="L32" s="38">
        <f>SUM(L25:L28,L30:L31)</f>
        <v>506356</v>
      </c>
      <c r="M32" s="38"/>
      <c r="N32" s="38"/>
      <c r="O32" s="38">
        <f>SUM(O25:O28,O30:O31)</f>
        <v>513124</v>
      </c>
      <c r="P32" s="38"/>
      <c r="Q32" s="38"/>
      <c r="R32" s="38">
        <f>SUM(R25:R28,R30:R31)</f>
        <v>486947</v>
      </c>
      <c r="S32" s="38"/>
      <c r="T32" s="38"/>
      <c r="U32" s="14">
        <f>SUM(U25:U28,U30:U31)</f>
        <v>482216</v>
      </c>
      <c r="V32" s="14"/>
      <c r="W32" s="14"/>
      <c r="X32" s="14">
        <f t="shared" ref="X32:AG32" si="5">SUM(X25:X28,X30:X31)</f>
        <v>515618</v>
      </c>
      <c r="Y32" s="14"/>
      <c r="Z32" s="14"/>
      <c r="AA32" s="14">
        <f t="shared" si="5"/>
        <v>497047</v>
      </c>
      <c r="AB32" s="14"/>
      <c r="AC32" s="14"/>
      <c r="AD32" s="14">
        <f t="shared" si="5"/>
        <v>543031</v>
      </c>
      <c r="AE32" s="14"/>
      <c r="AF32" s="14"/>
      <c r="AG32" s="14">
        <f t="shared" si="5"/>
        <v>606265</v>
      </c>
      <c r="AH32" s="27"/>
      <c r="AJ32" s="50"/>
    </row>
    <row r="33" spans="1:36" s="30" customFormat="1" x14ac:dyDescent="0.25">
      <c r="A33" s="78" t="s">
        <v>43</v>
      </c>
      <c r="B33" s="72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4"/>
      <c r="AH33" s="27"/>
      <c r="AJ33" s="50"/>
    </row>
    <row r="34" spans="1:36" s="30" customFormat="1" x14ac:dyDescent="0.25">
      <c r="A34" s="79"/>
      <c r="B34" s="35" t="s">
        <v>14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>
        <v>0</v>
      </c>
      <c r="S34" s="36"/>
      <c r="T34" s="36"/>
      <c r="U34" s="13">
        <v>0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21"/>
      <c r="AH34" s="27"/>
      <c r="AJ34" s="50"/>
    </row>
    <row r="35" spans="1:36" s="30" customFormat="1" x14ac:dyDescent="0.25">
      <c r="A35" s="79"/>
      <c r="B35" s="35" t="s">
        <v>15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0</v>
      </c>
      <c r="S35" s="36"/>
      <c r="T35" s="36"/>
      <c r="U35" s="13">
        <v>0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21"/>
      <c r="AH35" s="27"/>
      <c r="AJ35" s="50"/>
    </row>
    <row r="36" spans="1:36" s="30" customFormat="1" x14ac:dyDescent="0.25">
      <c r="A36" s="79"/>
      <c r="B36" s="35" t="s">
        <v>16</v>
      </c>
      <c r="C36" s="36">
        <v>284907</v>
      </c>
      <c r="D36" s="36">
        <v>0.92440046210229987</v>
      </c>
      <c r="E36" s="36">
        <v>258594</v>
      </c>
      <c r="F36" s="36">
        <v>0.89681784391957164</v>
      </c>
      <c r="G36" s="36">
        <v>264312</v>
      </c>
      <c r="H36" s="36">
        <v>0.64774333572260911</v>
      </c>
      <c r="I36" s="36">
        <v>209116</v>
      </c>
      <c r="J36" s="36"/>
      <c r="K36" s="36">
        <v>0.7691874949770956</v>
      </c>
      <c r="L36" s="36">
        <v>114755</v>
      </c>
      <c r="M36" s="36"/>
      <c r="N36" s="36">
        <v>0.88637952790079</v>
      </c>
      <c r="O36" s="36">
        <f t="shared" ref="O36:O37" si="6">L36*N36</f>
        <v>101716.48272425515</v>
      </c>
      <c r="P36" s="36"/>
      <c r="Q36" s="36">
        <v>1.0821319115753587</v>
      </c>
      <c r="R36" s="36">
        <v>121944</v>
      </c>
      <c r="S36" s="36"/>
      <c r="T36" s="36">
        <v>0.91243799436921835</v>
      </c>
      <c r="U36" s="13">
        <v>110337</v>
      </c>
      <c r="V36" s="13"/>
      <c r="W36" s="13">
        <v>1.2301412382684078</v>
      </c>
      <c r="X36" s="13">
        <v>148575</v>
      </c>
      <c r="Y36" s="13"/>
      <c r="Z36" s="13">
        <v>1.4983613900190362</v>
      </c>
      <c r="AA36" s="13">
        <v>216192</v>
      </c>
      <c r="AB36" s="13"/>
      <c r="AC36" s="13">
        <v>1.0548345149541882</v>
      </c>
      <c r="AD36" s="13">
        <v>221672</v>
      </c>
      <c r="AE36" s="13"/>
      <c r="AF36" s="13">
        <v>1.3247842659373981</v>
      </c>
      <c r="AG36" s="13">
        <v>253187</v>
      </c>
      <c r="AH36" s="27">
        <f>'2022'!D36/'2021'!AG36</f>
        <v>0.9983806435559488</v>
      </c>
      <c r="AJ36" s="50"/>
    </row>
    <row r="37" spans="1:36" s="30" customFormat="1" x14ac:dyDescent="0.25">
      <c r="A37" s="79"/>
      <c r="B37" s="35" t="s">
        <v>17</v>
      </c>
      <c r="C37" s="36">
        <v>5529</v>
      </c>
      <c r="D37" s="36">
        <v>0.86946148602590323</v>
      </c>
      <c r="E37" s="36">
        <v>5230</v>
      </c>
      <c r="F37" s="36">
        <v>0.94747157977263818</v>
      </c>
      <c r="G37" s="36">
        <v>6037</v>
      </c>
      <c r="H37" s="36">
        <v>0.72279685560612328</v>
      </c>
      <c r="I37" s="36">
        <v>14602</v>
      </c>
      <c r="J37" s="36"/>
      <c r="K37" s="36">
        <v>0.62879221522610185</v>
      </c>
      <c r="L37" s="36">
        <v>15261</v>
      </c>
      <c r="M37" s="36"/>
      <c r="N37" s="36">
        <v>0.80382339553937188</v>
      </c>
      <c r="O37" s="36">
        <f t="shared" si="6"/>
        <v>12267.148839326353</v>
      </c>
      <c r="P37" s="36"/>
      <c r="Q37" s="36">
        <v>0.84088335220838051</v>
      </c>
      <c r="R37" s="36">
        <v>16527</v>
      </c>
      <c r="S37" s="36"/>
      <c r="T37" s="36">
        <v>1.1851851851851851</v>
      </c>
      <c r="U37" s="13">
        <v>5244</v>
      </c>
      <c r="V37" s="13"/>
      <c r="W37" s="13">
        <v>1.7642045454545454</v>
      </c>
      <c r="X37" s="13">
        <v>8337</v>
      </c>
      <c r="Y37" s="13"/>
      <c r="Z37" s="13">
        <v>1.4283413848631239</v>
      </c>
      <c r="AA37" s="13">
        <v>6523</v>
      </c>
      <c r="AB37" s="13"/>
      <c r="AC37" s="13">
        <v>1.186020293122886</v>
      </c>
      <c r="AD37" s="13">
        <v>7847</v>
      </c>
      <c r="AE37" s="13"/>
      <c r="AF37" s="13">
        <v>0.98098859315589348</v>
      </c>
      <c r="AG37" s="13">
        <v>1298</v>
      </c>
      <c r="AH37" s="27">
        <f>'2022'!D37/'2021'!AG37</f>
        <v>2.6178736517719567</v>
      </c>
      <c r="AJ37" s="50"/>
    </row>
    <row r="38" spans="1:36" s="30" customFormat="1" x14ac:dyDescent="0.25">
      <c r="A38" s="79"/>
      <c r="B38" s="72" t="s">
        <v>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4"/>
      <c r="AH38" s="27"/>
    </row>
    <row r="39" spans="1:36" s="30" customFormat="1" x14ac:dyDescent="0.25">
      <c r="A39" s="79"/>
      <c r="B39" s="39" t="s">
        <v>16</v>
      </c>
      <c r="C39" s="36">
        <v>4820</v>
      </c>
      <c r="D39" s="36">
        <v>0.93609022556390975</v>
      </c>
      <c r="E39" s="36">
        <v>3460</v>
      </c>
      <c r="F39" s="36">
        <v>1.1646586345381527</v>
      </c>
      <c r="G39" s="36">
        <v>3260</v>
      </c>
      <c r="H39" s="36">
        <v>0.71034482758620687</v>
      </c>
      <c r="I39" s="36">
        <v>2640</v>
      </c>
      <c r="J39" s="36"/>
      <c r="K39" s="36">
        <v>0.92233009708737868</v>
      </c>
      <c r="L39" s="36">
        <v>2520</v>
      </c>
      <c r="M39" s="36"/>
      <c r="N39" s="36">
        <v>0.82631578947368423</v>
      </c>
      <c r="O39" s="36">
        <f>L39*N39</f>
        <v>2082.3157894736842</v>
      </c>
      <c r="P39" s="36"/>
      <c r="Q39" s="36">
        <v>0.88535031847133761</v>
      </c>
      <c r="R39" s="36">
        <v>2140</v>
      </c>
      <c r="S39" s="36"/>
      <c r="T39" s="36">
        <v>1.1223021582733812</v>
      </c>
      <c r="U39" s="13">
        <v>2300</v>
      </c>
      <c r="V39" s="13"/>
      <c r="W39" s="13">
        <v>1.3012820512820513</v>
      </c>
      <c r="X39" s="13">
        <v>3000</v>
      </c>
      <c r="Y39" s="13"/>
      <c r="Z39" s="13">
        <v>1.0689655172413792</v>
      </c>
      <c r="AA39" s="13">
        <v>2780</v>
      </c>
      <c r="AB39" s="13"/>
      <c r="AC39" s="13">
        <v>1.0599078341013826</v>
      </c>
      <c r="AD39" s="13">
        <v>2880</v>
      </c>
      <c r="AE39" s="13"/>
      <c r="AF39" s="13">
        <v>1.0782608695652174</v>
      </c>
      <c r="AG39" s="13">
        <v>2980</v>
      </c>
      <c r="AH39" s="27">
        <f>'2022'!D39/'2021'!AG39</f>
        <v>0</v>
      </c>
    </row>
    <row r="40" spans="1:36" s="30" customFormat="1" x14ac:dyDescent="0.25">
      <c r="A40" s="76" t="s">
        <v>18</v>
      </c>
      <c r="B40" s="77"/>
      <c r="C40" s="38">
        <f>SUM(C34:C37,C39)</f>
        <v>295256</v>
      </c>
      <c r="D40" s="38"/>
      <c r="E40" s="38">
        <f t="shared" ref="E40:AG40" si="7">SUM(E34:E37,E39)</f>
        <v>267284</v>
      </c>
      <c r="F40" s="38"/>
      <c r="G40" s="38">
        <f>SUM(G34:G37,G39)</f>
        <v>273609</v>
      </c>
      <c r="H40" s="38"/>
      <c r="I40" s="38">
        <f t="shared" si="7"/>
        <v>226358</v>
      </c>
      <c r="J40" s="38"/>
      <c r="K40" s="38"/>
      <c r="L40" s="38">
        <f>SUM(L34:L37,L39)</f>
        <v>132536</v>
      </c>
      <c r="M40" s="38"/>
      <c r="N40" s="38"/>
      <c r="O40" s="38">
        <f t="shared" si="7"/>
        <v>116065.94735305519</v>
      </c>
      <c r="P40" s="38"/>
      <c r="Q40" s="38"/>
      <c r="R40" s="38">
        <f>SUM(R34:R37,R39)</f>
        <v>140611</v>
      </c>
      <c r="S40" s="38"/>
      <c r="T40" s="38"/>
      <c r="U40" s="14">
        <f>SUM(U34:U37,U39)</f>
        <v>117881</v>
      </c>
      <c r="V40" s="14"/>
      <c r="W40" s="14"/>
      <c r="X40" s="14">
        <f t="shared" si="7"/>
        <v>159912</v>
      </c>
      <c r="Y40" s="14"/>
      <c r="Z40" s="14"/>
      <c r="AA40" s="14">
        <f t="shared" si="7"/>
        <v>225495</v>
      </c>
      <c r="AB40" s="14"/>
      <c r="AC40" s="14"/>
      <c r="AD40" s="14">
        <f t="shared" si="7"/>
        <v>232399</v>
      </c>
      <c r="AE40" s="14"/>
      <c r="AF40" s="14"/>
      <c r="AG40" s="14">
        <f t="shared" si="7"/>
        <v>257465</v>
      </c>
      <c r="AH40" s="27">
        <f>G40/E40</f>
        <v>1.0236639679142785</v>
      </c>
    </row>
    <row r="41" spans="1:36" s="30" customFormat="1" x14ac:dyDescent="0.25">
      <c r="A41" s="78" t="s">
        <v>44</v>
      </c>
      <c r="B41" s="72" t="s">
        <v>19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4"/>
      <c r="AH41" s="27"/>
    </row>
    <row r="42" spans="1:36" s="30" customFormat="1" x14ac:dyDescent="0.25">
      <c r="A42" s="79"/>
      <c r="B42" s="35" t="s">
        <v>14</v>
      </c>
      <c r="C42" s="36"/>
      <c r="D42" s="36"/>
      <c r="E42" s="36"/>
      <c r="F42" s="36"/>
      <c r="G42" s="36"/>
      <c r="H42" s="36"/>
      <c r="I42" s="36">
        <v>0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13">
        <v>0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21"/>
      <c r="AH42" s="27"/>
    </row>
    <row r="43" spans="1:36" s="30" customFormat="1" x14ac:dyDescent="0.25">
      <c r="A43" s="79"/>
      <c r="B43" s="35" t="s">
        <v>15</v>
      </c>
      <c r="C43" s="36"/>
      <c r="D43" s="36"/>
      <c r="E43" s="36"/>
      <c r="F43" s="36"/>
      <c r="G43" s="36"/>
      <c r="H43" s="36"/>
      <c r="I43" s="36">
        <v>0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13">
        <v>0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21"/>
      <c r="AH43" s="27"/>
    </row>
    <row r="44" spans="1:36" s="30" customFormat="1" x14ac:dyDescent="0.25">
      <c r="A44" s="79"/>
      <c r="B44" s="35" t="s">
        <v>16</v>
      </c>
      <c r="C44" s="36"/>
      <c r="D44" s="36"/>
      <c r="E44" s="36"/>
      <c r="F44" s="36"/>
      <c r="G44" s="36"/>
      <c r="H44" s="36"/>
      <c r="I44" s="36"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13">
        <v>0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21"/>
      <c r="AH44" s="27"/>
    </row>
    <row r="45" spans="1:36" s="30" customFormat="1" x14ac:dyDescent="0.25">
      <c r="A45" s="79"/>
      <c r="B45" s="35" t="s">
        <v>17</v>
      </c>
      <c r="C45" s="36">
        <f>2736+446</f>
        <v>3182</v>
      </c>
      <c r="D45" s="36">
        <v>0.88728689722357523</v>
      </c>
      <c r="E45" s="36">
        <v>2487</v>
      </c>
      <c r="F45" s="36">
        <v>0.35990338164251207</v>
      </c>
      <c r="G45" s="36">
        <v>2779</v>
      </c>
      <c r="H45" s="36">
        <v>0.93044539353264188</v>
      </c>
      <c r="I45" s="36">
        <v>2668</v>
      </c>
      <c r="J45" s="36"/>
      <c r="K45" s="36">
        <v>1.0501639344262295</v>
      </c>
      <c r="L45" s="36">
        <v>2818</v>
      </c>
      <c r="M45" s="36"/>
      <c r="N45" s="36">
        <v>1.0674367780206058</v>
      </c>
      <c r="O45" s="36">
        <f>L45*N45</f>
        <v>3008.0368404620672</v>
      </c>
      <c r="P45" s="36"/>
      <c r="Q45" s="36">
        <v>1.2038607780052646</v>
      </c>
      <c r="R45" s="36">
        <v>4424</v>
      </c>
      <c r="S45" s="36"/>
      <c r="T45" s="36">
        <v>1.0128765792031098</v>
      </c>
      <c r="U45" s="13">
        <v>3329</v>
      </c>
      <c r="V45" s="13"/>
      <c r="W45" s="13">
        <v>0.75173902614535859</v>
      </c>
      <c r="X45" s="13">
        <v>2909</v>
      </c>
      <c r="Y45" s="13"/>
      <c r="Z45" s="13">
        <v>0.95437141033822592</v>
      </c>
      <c r="AA45" s="13">
        <v>2775</v>
      </c>
      <c r="AB45" s="13"/>
      <c r="AC45" s="13">
        <v>0.88665997993981949</v>
      </c>
      <c r="AD45" s="13">
        <v>2856</v>
      </c>
      <c r="AE45" s="13"/>
      <c r="AF45" s="13">
        <v>1</v>
      </c>
      <c r="AG45" s="13">
        <v>2853</v>
      </c>
      <c r="AH45" s="27">
        <f>'2022'!D45/'2021'!AG45</f>
        <v>0.94602173151069047</v>
      </c>
      <c r="AJ45" s="50"/>
    </row>
    <row r="46" spans="1:36" s="30" customFormat="1" x14ac:dyDescent="0.25">
      <c r="A46" s="79"/>
      <c r="B46" s="72" t="s">
        <v>20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4"/>
      <c r="AH46" s="27"/>
      <c r="AJ46" s="50"/>
    </row>
    <row r="47" spans="1:36" s="30" customFormat="1" x14ac:dyDescent="0.25">
      <c r="A47" s="79"/>
      <c r="B47" s="35" t="s">
        <v>17</v>
      </c>
      <c r="C47" s="36">
        <v>33226</v>
      </c>
      <c r="D47" s="36">
        <v>0.91765605875153</v>
      </c>
      <c r="E47" s="36">
        <v>27293</v>
      </c>
      <c r="F47" s="36">
        <v>0.93981126413018101</v>
      </c>
      <c r="G47" s="36">
        <v>23701</v>
      </c>
      <c r="H47" s="36">
        <v>0.89327277888163492</v>
      </c>
      <c r="I47" s="36">
        <v>25798</v>
      </c>
      <c r="J47" s="36"/>
      <c r="K47" s="36">
        <v>1.0166031140768987</v>
      </c>
      <c r="L47" s="36">
        <v>23592</v>
      </c>
      <c r="M47" s="36"/>
      <c r="N47" s="36">
        <v>0.99171680862702194</v>
      </c>
      <c r="O47" s="36">
        <f>L47*N47</f>
        <v>23396.5829491287</v>
      </c>
      <c r="P47" s="36"/>
      <c r="Q47" s="36">
        <v>0.90658734536285557</v>
      </c>
      <c r="R47" s="36">
        <v>22525</v>
      </c>
      <c r="S47" s="36"/>
      <c r="T47" s="36">
        <v>1.0000434574768589</v>
      </c>
      <c r="U47" s="13">
        <v>22667</v>
      </c>
      <c r="V47" s="13"/>
      <c r="W47" s="13">
        <v>1.1901181992004173</v>
      </c>
      <c r="X47" s="13">
        <v>24728</v>
      </c>
      <c r="Y47" s="13"/>
      <c r="Z47" s="13">
        <v>0.90104794245444919</v>
      </c>
      <c r="AA47" s="13">
        <v>24727</v>
      </c>
      <c r="AB47" s="13"/>
      <c r="AC47" s="13">
        <v>1.0752927827531709</v>
      </c>
      <c r="AD47" s="13">
        <v>24187</v>
      </c>
      <c r="AE47" s="13"/>
      <c r="AF47" s="13">
        <v>1</v>
      </c>
      <c r="AG47" s="21">
        <v>25736</v>
      </c>
      <c r="AH47" s="27">
        <f>'2022'!D47/'2021'!AG47</f>
        <v>1.0592943736400373</v>
      </c>
      <c r="AJ47" s="50"/>
    </row>
    <row r="48" spans="1:36" s="30" customFormat="1" x14ac:dyDescent="0.25">
      <c r="A48" s="76" t="s">
        <v>18</v>
      </c>
      <c r="B48" s="77"/>
      <c r="C48" s="38">
        <f>SUM(C42:C45,C47)</f>
        <v>36408</v>
      </c>
      <c r="D48" s="38"/>
      <c r="E48" s="38">
        <f t="shared" ref="E48:AG48" si="8">SUM(E42:E45,E47)</f>
        <v>29780</v>
      </c>
      <c r="F48" s="38"/>
      <c r="G48" s="38">
        <f>SUM(G42:G45,G47)</f>
        <v>26480</v>
      </c>
      <c r="H48" s="38"/>
      <c r="I48" s="38">
        <f t="shared" si="8"/>
        <v>28466</v>
      </c>
      <c r="J48" s="38"/>
      <c r="K48" s="38"/>
      <c r="L48" s="38">
        <f>SUM(L42:L45,L47)</f>
        <v>26410</v>
      </c>
      <c r="M48" s="38"/>
      <c r="N48" s="38"/>
      <c r="O48" s="38">
        <f t="shared" si="8"/>
        <v>26404.619789590768</v>
      </c>
      <c r="P48" s="38"/>
      <c r="Q48" s="38"/>
      <c r="R48" s="38">
        <f>SUM(R42:R45,R47)</f>
        <v>26949</v>
      </c>
      <c r="S48" s="38"/>
      <c r="T48" s="38"/>
      <c r="U48" s="14">
        <f>SUM(U42:U45,U47)</f>
        <v>25996</v>
      </c>
      <c r="V48" s="14"/>
      <c r="W48" s="14"/>
      <c r="X48" s="14">
        <f t="shared" si="8"/>
        <v>27637</v>
      </c>
      <c r="Y48" s="14"/>
      <c r="Z48" s="14"/>
      <c r="AA48" s="14">
        <f t="shared" si="8"/>
        <v>27502</v>
      </c>
      <c r="AB48" s="14"/>
      <c r="AC48" s="14"/>
      <c r="AD48" s="14">
        <f t="shared" si="8"/>
        <v>27043</v>
      </c>
      <c r="AE48" s="14"/>
      <c r="AF48" s="14"/>
      <c r="AG48" s="14">
        <f t="shared" si="8"/>
        <v>28589</v>
      </c>
      <c r="AH48" s="27"/>
      <c r="AJ48" s="50"/>
    </row>
    <row r="49" spans="1:36" s="30" customFormat="1" x14ac:dyDescent="0.25">
      <c r="A49" s="78" t="s">
        <v>32</v>
      </c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4"/>
      <c r="AH49" s="27"/>
      <c r="AJ49" s="50"/>
    </row>
    <row r="50" spans="1:36" s="30" customFormat="1" x14ac:dyDescent="0.25">
      <c r="A50" s="79"/>
      <c r="B50" s="35" t="s">
        <v>14</v>
      </c>
      <c r="C50" s="36"/>
      <c r="D50" s="36"/>
      <c r="E50" s="36"/>
      <c r="F50" s="36"/>
      <c r="G50" s="36"/>
      <c r="H50" s="36"/>
      <c r="I50" s="36">
        <v>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21"/>
      <c r="AH50" s="27"/>
      <c r="AJ50" s="50"/>
    </row>
    <row r="51" spans="1:36" s="30" customFormat="1" x14ac:dyDescent="0.25">
      <c r="A51" s="79"/>
      <c r="B51" s="35" t="s">
        <v>15</v>
      </c>
      <c r="C51" s="36"/>
      <c r="D51" s="36"/>
      <c r="E51" s="36"/>
      <c r="F51" s="36"/>
      <c r="G51" s="36"/>
      <c r="H51" s="36"/>
      <c r="I51" s="36">
        <v>0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21"/>
      <c r="AH51" s="27" t="e">
        <f>X51/U51</f>
        <v>#DIV/0!</v>
      </c>
      <c r="AJ51" s="50"/>
    </row>
    <row r="52" spans="1:36" s="30" customFormat="1" x14ac:dyDescent="0.25">
      <c r="A52" s="79"/>
      <c r="B52" s="35" t="s">
        <v>16</v>
      </c>
      <c r="C52" s="36">
        <v>284970</v>
      </c>
      <c r="D52" s="36">
        <v>0.88631845167336842</v>
      </c>
      <c r="E52" s="36">
        <v>237654</v>
      </c>
      <c r="F52" s="36">
        <v>0.99609687828013838</v>
      </c>
      <c r="G52" s="36">
        <v>217369</v>
      </c>
      <c r="H52" s="36">
        <v>0.56312396087828709</v>
      </c>
      <c r="I52" s="36">
        <v>190035</v>
      </c>
      <c r="J52" s="36"/>
      <c r="K52" s="36">
        <v>0.70433926826394622</v>
      </c>
      <c r="L52" s="36">
        <v>147147</v>
      </c>
      <c r="M52" s="36"/>
      <c r="N52" s="36">
        <v>0.81437019689649404</v>
      </c>
      <c r="O52" s="36">
        <v>137132</v>
      </c>
      <c r="P52" s="36"/>
      <c r="Q52" s="36">
        <v>1.2407385031777869</v>
      </c>
      <c r="R52" s="36">
        <v>142576</v>
      </c>
      <c r="S52" s="36"/>
      <c r="T52" s="36">
        <v>1.3081140564439164</v>
      </c>
      <c r="U52" s="13">
        <v>139573</v>
      </c>
      <c r="V52" s="13"/>
      <c r="W52" s="13">
        <v>1.2722799181090638</v>
      </c>
      <c r="X52" s="13">
        <v>163733</v>
      </c>
      <c r="Y52" s="13"/>
      <c r="Z52" s="13">
        <v>1.3050807787055512</v>
      </c>
      <c r="AA52" s="13">
        <v>216326</v>
      </c>
      <c r="AB52" s="13"/>
      <c r="AC52" s="13">
        <v>1.0271031263871018</v>
      </c>
      <c r="AD52" s="13">
        <v>237324</v>
      </c>
      <c r="AE52" s="13"/>
      <c r="AF52" s="13">
        <v>1.2887699601016229</v>
      </c>
      <c r="AG52" s="21">
        <v>251546</v>
      </c>
      <c r="AH52" s="27">
        <f>'2022'!D52/'2021'!AG52</f>
        <v>0.82690641075588556</v>
      </c>
      <c r="AJ52" s="50"/>
    </row>
    <row r="53" spans="1:36" s="30" customFormat="1" x14ac:dyDescent="0.25">
      <c r="A53" s="79"/>
      <c r="B53" s="35" t="s">
        <v>17</v>
      </c>
      <c r="C53" s="36">
        <v>32301</v>
      </c>
      <c r="D53" s="36">
        <v>0.88880500770658366</v>
      </c>
      <c r="E53" s="36">
        <v>29011</v>
      </c>
      <c r="F53" s="36">
        <v>0.83012457531143824</v>
      </c>
      <c r="G53" s="36">
        <v>24562</v>
      </c>
      <c r="H53" s="36">
        <v>0.82507673942701232</v>
      </c>
      <c r="I53" s="36">
        <v>17867</v>
      </c>
      <c r="J53" s="36"/>
      <c r="K53" s="36">
        <v>0.87071771818322741</v>
      </c>
      <c r="L53" s="36">
        <v>16508</v>
      </c>
      <c r="M53" s="36"/>
      <c r="N53" s="36">
        <v>0.88208414930864643</v>
      </c>
      <c r="O53" s="36">
        <v>16605</v>
      </c>
      <c r="P53" s="36"/>
      <c r="Q53" s="36">
        <v>1.2216092572658772</v>
      </c>
      <c r="R53" s="36">
        <v>14808</v>
      </c>
      <c r="S53" s="36"/>
      <c r="T53" s="36">
        <v>0.86661526599845795</v>
      </c>
      <c r="U53" s="13">
        <v>15177</v>
      </c>
      <c r="V53" s="13"/>
      <c r="W53" s="13">
        <v>1.2982333502796137</v>
      </c>
      <c r="X53" s="13">
        <v>16646</v>
      </c>
      <c r="Y53" s="13"/>
      <c r="Z53" s="13">
        <v>0.93930197268588767</v>
      </c>
      <c r="AA53" s="13">
        <v>18373</v>
      </c>
      <c r="AB53" s="13"/>
      <c r="AC53" s="13">
        <v>1.2399291260618062</v>
      </c>
      <c r="AD53" s="13">
        <v>21531</v>
      </c>
      <c r="AE53" s="13"/>
      <c r="AF53" s="13">
        <v>1.1053671247846004</v>
      </c>
      <c r="AG53" s="13">
        <v>23765</v>
      </c>
      <c r="AH53" s="27">
        <f>'2022'!D53/'2021'!AG53</f>
        <v>1.0201556911424363</v>
      </c>
      <c r="AJ53" s="50"/>
    </row>
    <row r="54" spans="1:36" s="30" customFormat="1" x14ac:dyDescent="0.25">
      <c r="A54" s="79"/>
      <c r="B54" s="72" t="s">
        <v>20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4"/>
      <c r="AH54" s="27"/>
      <c r="AJ54" s="50"/>
    </row>
    <row r="55" spans="1:36" s="30" customFormat="1" x14ac:dyDescent="0.25">
      <c r="A55" s="79"/>
      <c r="B55" s="40" t="s">
        <v>20</v>
      </c>
      <c r="C55" s="36">
        <v>0</v>
      </c>
      <c r="D55" s="36">
        <v>1</v>
      </c>
      <c r="E55" s="36">
        <f>C55*D55</f>
        <v>0</v>
      </c>
      <c r="F55" s="36">
        <v>1</v>
      </c>
      <c r="G55" s="36">
        <f>E55*F55</f>
        <v>0</v>
      </c>
      <c r="H55" s="36">
        <v>1</v>
      </c>
      <c r="I55" s="36">
        <f>G55*H55</f>
        <v>0</v>
      </c>
      <c r="J55" s="36"/>
      <c r="K55" s="36">
        <v>1</v>
      </c>
      <c r="L55" s="36">
        <f>I55*K55</f>
        <v>0</v>
      </c>
      <c r="M55" s="36"/>
      <c r="N55" s="36">
        <v>1</v>
      </c>
      <c r="O55" s="36">
        <f>L55*N55</f>
        <v>0</v>
      </c>
      <c r="P55" s="36"/>
      <c r="Q55" s="36">
        <v>1</v>
      </c>
      <c r="R55" s="36"/>
      <c r="S55" s="36"/>
      <c r="T55" s="36">
        <v>1</v>
      </c>
      <c r="U55" s="13">
        <f>R55*T55</f>
        <v>0</v>
      </c>
      <c r="V55" s="13"/>
      <c r="W55" s="13"/>
      <c r="X55" s="13">
        <v>100</v>
      </c>
      <c r="Y55" s="13"/>
      <c r="Z55" s="13">
        <v>1</v>
      </c>
      <c r="AA55" s="13">
        <v>100</v>
      </c>
      <c r="AB55" s="13"/>
      <c r="AC55" s="13">
        <v>1</v>
      </c>
      <c r="AD55" s="13">
        <v>0</v>
      </c>
      <c r="AE55" s="13"/>
      <c r="AF55" s="13">
        <v>1</v>
      </c>
      <c r="AG55" s="21">
        <f>AF55*AD55</f>
        <v>0</v>
      </c>
      <c r="AH55" s="27" t="e">
        <f>R55/O55</f>
        <v>#DIV/0!</v>
      </c>
      <c r="AJ55" s="50"/>
    </row>
    <row r="56" spans="1:36" s="30" customFormat="1" x14ac:dyDescent="0.25">
      <c r="A56" s="76" t="s">
        <v>18</v>
      </c>
      <c r="B56" s="77"/>
      <c r="C56" s="38">
        <f>SUM(C50:C53,C55)</f>
        <v>317271</v>
      </c>
      <c r="D56" s="38"/>
      <c r="E56" s="38">
        <f t="shared" ref="E56:AG56" si="9">SUM(E50:E53,E55)</f>
        <v>266665</v>
      </c>
      <c r="F56" s="38"/>
      <c r="G56" s="38">
        <f>SUM(G50:G53,G55)</f>
        <v>241931</v>
      </c>
      <c r="H56" s="38"/>
      <c r="I56" s="38">
        <f t="shared" si="9"/>
        <v>207902</v>
      </c>
      <c r="J56" s="38"/>
      <c r="K56" s="38"/>
      <c r="L56" s="38">
        <f>SUM(L50:L53,L55)</f>
        <v>163655</v>
      </c>
      <c r="M56" s="38"/>
      <c r="N56" s="38"/>
      <c r="O56" s="38">
        <f t="shared" si="9"/>
        <v>153737</v>
      </c>
      <c r="P56" s="38"/>
      <c r="Q56" s="38"/>
      <c r="R56" s="38">
        <f>SUM(R50:R53,R55)</f>
        <v>157384</v>
      </c>
      <c r="S56" s="38"/>
      <c r="T56" s="38"/>
      <c r="U56" s="14">
        <f>SUM(U50:U53,U55)</f>
        <v>154750</v>
      </c>
      <c r="V56" s="14"/>
      <c r="W56" s="14"/>
      <c r="X56" s="14">
        <f t="shared" si="9"/>
        <v>180479</v>
      </c>
      <c r="Y56" s="14"/>
      <c r="Z56" s="14"/>
      <c r="AA56" s="14">
        <f t="shared" si="9"/>
        <v>234799</v>
      </c>
      <c r="AB56" s="14"/>
      <c r="AC56" s="14"/>
      <c r="AD56" s="14">
        <f t="shared" si="9"/>
        <v>258855</v>
      </c>
      <c r="AE56" s="14"/>
      <c r="AF56" s="14"/>
      <c r="AG56" s="14">
        <f t="shared" si="9"/>
        <v>275311</v>
      </c>
      <c r="AH56" s="27"/>
      <c r="AJ56" s="50"/>
    </row>
    <row r="57" spans="1:36" x14ac:dyDescent="0.25">
      <c r="A57" s="78" t="s">
        <v>45</v>
      </c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4"/>
      <c r="AJ57" s="23"/>
    </row>
    <row r="58" spans="1:36" x14ac:dyDescent="0.25">
      <c r="A58" s="79"/>
      <c r="B58" s="35" t="s">
        <v>14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21"/>
      <c r="AJ58" s="23"/>
    </row>
    <row r="59" spans="1:36" x14ac:dyDescent="0.25">
      <c r="A59" s="79"/>
      <c r="B59" s="35" t="s">
        <v>15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21"/>
      <c r="AJ59" s="23"/>
    </row>
    <row r="60" spans="1:36" x14ac:dyDescent="0.25">
      <c r="A60" s="79"/>
      <c r="B60" s="35" t="s">
        <v>16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 t="e">
        <f>L60/I60</f>
        <v>#DIV/0!</v>
      </c>
      <c r="N60" s="36"/>
      <c r="O60" s="36"/>
      <c r="P60" s="36"/>
      <c r="Q60" s="36"/>
      <c r="R60" s="36"/>
      <c r="S60" s="36"/>
      <c r="T60" s="36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21"/>
      <c r="AJ60" s="23"/>
    </row>
    <row r="61" spans="1:36" x14ac:dyDescent="0.25">
      <c r="A61" s="79"/>
      <c r="B61" s="35" t="s">
        <v>17</v>
      </c>
      <c r="C61" s="36">
        <v>2788</v>
      </c>
      <c r="D61" s="36">
        <v>0.95812681592890103</v>
      </c>
      <c r="E61" s="36">
        <v>2512</v>
      </c>
      <c r="F61" s="36">
        <v>1.0874063503389226</v>
      </c>
      <c r="G61" s="36">
        <v>2451</v>
      </c>
      <c r="H61" s="36">
        <v>0.30659448818897639</v>
      </c>
      <c r="I61" s="36">
        <v>2206</v>
      </c>
      <c r="J61" s="36"/>
      <c r="K61" s="36">
        <v>1.1310861423220975</v>
      </c>
      <c r="L61" s="36">
        <v>3921</v>
      </c>
      <c r="M61" s="36"/>
      <c r="N61" s="36">
        <v>0.92762535477767261</v>
      </c>
      <c r="O61" s="36">
        <v>2052</v>
      </c>
      <c r="P61" s="36"/>
      <c r="Q61" s="36">
        <v>1.0780214176440592</v>
      </c>
      <c r="R61" s="36">
        <v>2788</v>
      </c>
      <c r="S61" s="36"/>
      <c r="T61" s="36">
        <v>1.5359508041627248</v>
      </c>
      <c r="U61" s="13">
        <v>2236</v>
      </c>
      <c r="V61" s="13"/>
      <c r="W61" s="13">
        <v>0.95287958115183247</v>
      </c>
      <c r="X61" s="13">
        <v>3247</v>
      </c>
      <c r="Y61" s="13"/>
      <c r="Z61" s="13">
        <v>1.7129928894634776</v>
      </c>
      <c r="AA61" s="13">
        <v>3860</v>
      </c>
      <c r="AB61" s="13"/>
      <c r="AC61" s="13">
        <v>0.80339622641509434</v>
      </c>
      <c r="AD61" s="13">
        <v>4626</v>
      </c>
      <c r="AE61" s="13"/>
      <c r="AF61" s="13">
        <v>1.0432127759511507</v>
      </c>
      <c r="AG61" s="13">
        <v>5054</v>
      </c>
      <c r="AH61" s="27">
        <f>AG61/AD61</f>
        <v>1.0925205361003025</v>
      </c>
      <c r="AJ61" s="23"/>
    </row>
    <row r="62" spans="1:36" x14ac:dyDescent="0.25">
      <c r="A62" s="79"/>
      <c r="B62" s="72" t="s">
        <v>20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4"/>
    </row>
    <row r="63" spans="1:36" x14ac:dyDescent="0.25">
      <c r="A63" s="79"/>
      <c r="B63" s="40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21"/>
    </row>
    <row r="64" spans="1:36" x14ac:dyDescent="0.25">
      <c r="A64" s="76" t="s">
        <v>18</v>
      </c>
      <c r="B64" s="77"/>
      <c r="C64" s="38">
        <f>SUM(C58:C61,C63)</f>
        <v>2788</v>
      </c>
      <c r="D64" s="38"/>
      <c r="E64" s="38">
        <f t="shared" ref="E64:AG64" si="10">SUM(E58:E61,E63)</f>
        <v>2512</v>
      </c>
      <c r="F64" s="38"/>
      <c r="G64" s="38">
        <f t="shared" si="10"/>
        <v>2451</v>
      </c>
      <c r="H64" s="38"/>
      <c r="I64" s="38">
        <v>2206</v>
      </c>
      <c r="J64" s="38">
        <f t="shared" si="10"/>
        <v>0</v>
      </c>
      <c r="K64" s="38"/>
      <c r="L64" s="38">
        <f t="shared" si="10"/>
        <v>3921</v>
      </c>
      <c r="M64" s="38" t="e">
        <f t="shared" si="10"/>
        <v>#DIV/0!</v>
      </c>
      <c r="N64" s="38"/>
      <c r="O64" s="38">
        <f t="shared" si="10"/>
        <v>2052</v>
      </c>
      <c r="P64" s="38"/>
      <c r="Q64" s="38"/>
      <c r="R64" s="38">
        <f t="shared" si="10"/>
        <v>2788</v>
      </c>
      <c r="S64" s="38"/>
      <c r="T64" s="38"/>
      <c r="U64" s="14">
        <f t="shared" si="10"/>
        <v>2236</v>
      </c>
      <c r="V64" s="14"/>
      <c r="W64" s="14"/>
      <c r="X64" s="14">
        <f t="shared" si="10"/>
        <v>3247</v>
      </c>
      <c r="Y64" s="14"/>
      <c r="Z64" s="14"/>
      <c r="AA64" s="14">
        <f t="shared" si="10"/>
        <v>3860</v>
      </c>
      <c r="AB64" s="14"/>
      <c r="AC64" s="14"/>
      <c r="AD64" s="14">
        <f t="shared" si="10"/>
        <v>4626</v>
      </c>
      <c r="AE64" s="14"/>
      <c r="AF64" s="14"/>
      <c r="AG64" s="14">
        <f t="shared" si="10"/>
        <v>5054</v>
      </c>
    </row>
    <row r="65" spans="1:36" x14ac:dyDescent="0.25">
      <c r="A65" s="78" t="s">
        <v>37</v>
      </c>
      <c r="B65" s="72" t="s">
        <v>19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4"/>
      <c r="AJ65" s="23"/>
    </row>
    <row r="66" spans="1:36" x14ac:dyDescent="0.25">
      <c r="A66" s="79"/>
      <c r="B66" s="35" t="s">
        <v>14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21"/>
      <c r="AJ66" s="23"/>
    </row>
    <row r="67" spans="1:36" x14ac:dyDescent="0.25">
      <c r="A67" s="79"/>
      <c r="B67" s="35" t="s">
        <v>15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21"/>
      <c r="AJ67" s="23"/>
    </row>
    <row r="68" spans="1:36" x14ac:dyDescent="0.25">
      <c r="A68" s="79"/>
      <c r="B68" s="35" t="s">
        <v>16</v>
      </c>
      <c r="C68" s="36">
        <v>25</v>
      </c>
      <c r="D68" s="36">
        <v>1.1666666666666667</v>
      </c>
      <c r="E68" s="36">
        <v>0</v>
      </c>
      <c r="F68" s="36">
        <v>3.7142857142857144</v>
      </c>
      <c r="G68" s="36">
        <f t="shared" ref="G68" si="11">E68*F68</f>
        <v>0</v>
      </c>
      <c r="H68" s="36">
        <v>0.61538461538461542</v>
      </c>
      <c r="I68" s="36">
        <v>19</v>
      </c>
      <c r="J68" s="36"/>
      <c r="K68" s="36">
        <v>0.984375</v>
      </c>
      <c r="L68" s="36">
        <v>154</v>
      </c>
      <c r="M68" s="36"/>
      <c r="N68" s="36">
        <v>4.7142857142857144</v>
      </c>
      <c r="O68" s="36">
        <v>45</v>
      </c>
      <c r="P68" s="36"/>
      <c r="Q68" s="36">
        <v>0</v>
      </c>
      <c r="R68" s="36">
        <v>359</v>
      </c>
      <c r="S68" s="36"/>
      <c r="T68" s="36">
        <v>0</v>
      </c>
      <c r="U68" s="13">
        <v>0</v>
      </c>
      <c r="V68" s="13"/>
      <c r="W68" s="13">
        <v>0.7142857142857143</v>
      </c>
      <c r="X68" s="13">
        <f t="shared" ref="X68" si="12">U68*W68</f>
        <v>0</v>
      </c>
      <c r="Y68" s="13"/>
      <c r="Z68" s="13">
        <v>0</v>
      </c>
      <c r="AA68" s="13">
        <v>56</v>
      </c>
      <c r="AB68" s="13"/>
      <c r="AC68" s="13">
        <v>0</v>
      </c>
      <c r="AD68" s="13">
        <v>0</v>
      </c>
      <c r="AE68" s="13"/>
      <c r="AF68" s="13">
        <v>0.35384615384615387</v>
      </c>
      <c r="AG68" s="21">
        <f t="shared" ref="AG68:AG69" si="13">AF68*AD68</f>
        <v>0</v>
      </c>
      <c r="AH68" s="27" t="e">
        <f>AA68/X68</f>
        <v>#DIV/0!</v>
      </c>
      <c r="AJ68" s="23"/>
    </row>
    <row r="69" spans="1:36" x14ac:dyDescent="0.25">
      <c r="A69" s="79"/>
      <c r="B69" s="35" t="s">
        <v>17</v>
      </c>
      <c r="C69" s="36">
        <v>4934</v>
      </c>
      <c r="D69" s="36">
        <v>0.90478905359179018</v>
      </c>
      <c r="E69" s="36">
        <v>3460</v>
      </c>
      <c r="F69" s="36">
        <v>0.93446754883427852</v>
      </c>
      <c r="G69" s="36">
        <v>3539</v>
      </c>
      <c r="H69" s="36">
        <v>0.69689817936614973</v>
      </c>
      <c r="I69" s="36">
        <v>2072</v>
      </c>
      <c r="J69" s="36"/>
      <c r="K69" s="36">
        <v>0.16061925495887761</v>
      </c>
      <c r="L69" s="36">
        <v>972</v>
      </c>
      <c r="M69" s="36"/>
      <c r="N69" s="36">
        <v>1.1024096385542168</v>
      </c>
      <c r="O69" s="36">
        <v>472</v>
      </c>
      <c r="P69" s="36"/>
      <c r="Q69" s="36">
        <v>0.9699453551912568</v>
      </c>
      <c r="R69" s="36">
        <v>319</v>
      </c>
      <c r="S69" s="36"/>
      <c r="T69" s="36">
        <v>0.90985915492957747</v>
      </c>
      <c r="U69" s="13">
        <v>2</v>
      </c>
      <c r="V69" s="13"/>
      <c r="W69" s="13">
        <v>4.3312693498452015</v>
      </c>
      <c r="X69" s="13">
        <v>4</v>
      </c>
      <c r="Y69" s="13"/>
      <c r="Z69" s="13">
        <v>1.492494639027877</v>
      </c>
      <c r="AA69" s="13">
        <v>20</v>
      </c>
      <c r="AB69" s="13"/>
      <c r="AC69" s="13">
        <v>1.5067049808429118</v>
      </c>
      <c r="AD69" s="13">
        <v>0</v>
      </c>
      <c r="AE69" s="13"/>
      <c r="AF69" s="13">
        <v>0.97933884297520657</v>
      </c>
      <c r="AG69" s="13">
        <f t="shared" si="13"/>
        <v>0</v>
      </c>
      <c r="AH69" s="27">
        <f>X69/U69</f>
        <v>2</v>
      </c>
      <c r="AJ69" s="23"/>
    </row>
    <row r="70" spans="1:36" x14ac:dyDescent="0.25">
      <c r="A70" s="79"/>
      <c r="B70" s="72" t="s">
        <v>20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4"/>
    </row>
    <row r="71" spans="1:36" x14ac:dyDescent="0.25">
      <c r="A71" s="79"/>
      <c r="B71" s="40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21"/>
    </row>
    <row r="72" spans="1:36" x14ac:dyDescent="0.25">
      <c r="A72" s="76" t="s">
        <v>18</v>
      </c>
      <c r="B72" s="77"/>
      <c r="C72" s="38">
        <f>SUM(C66:C69,C71)</f>
        <v>4959</v>
      </c>
      <c r="D72" s="38"/>
      <c r="E72" s="38">
        <f t="shared" ref="E72:AG72" si="14">SUM(E66:E69,E71)</f>
        <v>3460</v>
      </c>
      <c r="F72" s="38"/>
      <c r="G72" s="38">
        <f t="shared" si="14"/>
        <v>3539</v>
      </c>
      <c r="H72" s="38"/>
      <c r="I72" s="38">
        <f t="shared" si="14"/>
        <v>2091</v>
      </c>
      <c r="J72" s="38">
        <f t="shared" si="14"/>
        <v>0</v>
      </c>
      <c r="K72" s="38"/>
      <c r="L72" s="38">
        <f t="shared" si="14"/>
        <v>1126</v>
      </c>
      <c r="M72" s="38">
        <f t="shared" si="14"/>
        <v>0</v>
      </c>
      <c r="N72" s="38"/>
      <c r="O72" s="38">
        <f t="shared" si="14"/>
        <v>517</v>
      </c>
      <c r="P72" s="38"/>
      <c r="Q72" s="38"/>
      <c r="R72" s="38">
        <f t="shared" si="14"/>
        <v>678</v>
      </c>
      <c r="S72" s="38"/>
      <c r="T72" s="38"/>
      <c r="U72" s="14">
        <f t="shared" si="14"/>
        <v>2</v>
      </c>
      <c r="V72" s="14"/>
      <c r="W72" s="14"/>
      <c r="X72" s="14">
        <f t="shared" si="14"/>
        <v>4</v>
      </c>
      <c r="Y72" s="14"/>
      <c r="Z72" s="14"/>
      <c r="AA72" s="14">
        <f t="shared" si="14"/>
        <v>76</v>
      </c>
      <c r="AB72" s="14"/>
      <c r="AC72" s="14"/>
      <c r="AD72" s="14">
        <f t="shared" si="14"/>
        <v>0</v>
      </c>
      <c r="AE72" s="14"/>
      <c r="AF72" s="14"/>
      <c r="AG72" s="14">
        <f t="shared" si="14"/>
        <v>0</v>
      </c>
    </row>
    <row r="73" spans="1:36" x14ac:dyDescent="0.25">
      <c r="C73" s="43"/>
      <c r="D73" s="43"/>
      <c r="E73" s="51"/>
      <c r="F73" s="51"/>
      <c r="G73" s="43"/>
      <c r="H73" s="43"/>
      <c r="AD73" s="30"/>
      <c r="AE73" s="30"/>
      <c r="AF73" s="30"/>
      <c r="AG73" s="30"/>
    </row>
    <row r="74" spans="1:36" x14ac:dyDescent="0.25">
      <c r="C74" s="44"/>
      <c r="D74" s="44"/>
      <c r="E74" s="51"/>
      <c r="F74" s="51"/>
      <c r="G74" s="44"/>
      <c r="H74" s="44"/>
    </row>
    <row r="75" spans="1:36" x14ac:dyDescent="0.25">
      <c r="C75" s="48"/>
      <c r="D75" s="48"/>
      <c r="O75" s="46"/>
      <c r="P75" s="46"/>
      <c r="Q75" s="46"/>
      <c r="U75" s="23"/>
      <c r="V75" s="23"/>
      <c r="W75" s="23"/>
    </row>
    <row r="76" spans="1:36" x14ac:dyDescent="0.25">
      <c r="R76" s="46"/>
      <c r="S76" s="46"/>
      <c r="T76" s="46"/>
    </row>
  </sheetData>
  <mergeCells count="33">
    <mergeCell ref="A72:B72"/>
    <mergeCell ref="A56:B56"/>
    <mergeCell ref="A57:A63"/>
    <mergeCell ref="B57:AG57"/>
    <mergeCell ref="B62:AG62"/>
    <mergeCell ref="A64:B64"/>
    <mergeCell ref="A65:A71"/>
    <mergeCell ref="B65:AG65"/>
    <mergeCell ref="B70:AG70"/>
    <mergeCell ref="A49:A55"/>
    <mergeCell ref="B49:AG49"/>
    <mergeCell ref="B54:AG54"/>
    <mergeCell ref="A23:B23"/>
    <mergeCell ref="A24:A30"/>
    <mergeCell ref="B24:AG24"/>
    <mergeCell ref="B29:AG29"/>
    <mergeCell ref="A32:B32"/>
    <mergeCell ref="A33:A39"/>
    <mergeCell ref="B33:AG33"/>
    <mergeCell ref="B38:AG38"/>
    <mergeCell ref="A40:B40"/>
    <mergeCell ref="A41:A47"/>
    <mergeCell ref="B41:AG41"/>
    <mergeCell ref="B46:AG46"/>
    <mergeCell ref="A48:B48"/>
    <mergeCell ref="A15:A21"/>
    <mergeCell ref="B15:AG15"/>
    <mergeCell ref="B20:AG20"/>
    <mergeCell ref="A2:AG2"/>
    <mergeCell ref="A4:A10"/>
    <mergeCell ref="B4:AG4"/>
    <mergeCell ref="B9:AG9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2025-01-22T12:58:01Z</dcterms:modified>
</cp:coreProperties>
</file>