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-15" yWindow="5715" windowWidth="25230" windowHeight="6660" firstSheet="7" activeTab="10"/>
  </bookViews>
  <sheets>
    <sheet name="2014" sheetId="6" state="hidden" r:id="rId1"/>
    <sheet name="2015 " sheetId="7" state="hidden" r:id="rId2"/>
    <sheet name="2016" sheetId="8" state="hidden" r:id="rId3"/>
    <sheet name="2017" sheetId="9" state="hidden" r:id="rId4"/>
    <sheet name="2018" sheetId="10" state="hidden" r:id="rId5"/>
    <sheet name="2019" sheetId="11" state="hidden" r:id="rId6"/>
    <sheet name="2020" sheetId="12" state="hidden" r:id="rId7"/>
    <sheet name="2021" sheetId="13" r:id="rId8"/>
    <sheet name="2022" sheetId="14" r:id="rId9"/>
    <sheet name="2023" sheetId="15" r:id="rId10"/>
    <sheet name="2024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calcPr calcId="162913"/>
</workbook>
</file>

<file path=xl/calcChain.xml><?xml version="1.0" encoding="utf-8"?>
<calcChain xmlns="http://schemas.openxmlformats.org/spreadsheetml/2006/main">
  <c r="M6" i="16" l="1"/>
  <c r="M5" i="16"/>
  <c r="K6" i="16" l="1"/>
  <c r="K5" i="16"/>
  <c r="O7" i="16" l="1"/>
  <c r="O8" i="16" l="1"/>
  <c r="O6" i="16"/>
  <c r="O5" i="16"/>
  <c r="C6" i="16" l="1"/>
  <c r="C5" i="16"/>
  <c r="N11" i="16" l="1"/>
  <c r="M11" i="16"/>
  <c r="L11" i="16"/>
  <c r="K11" i="16"/>
  <c r="I11" i="16"/>
  <c r="H11" i="16"/>
  <c r="G11" i="16"/>
  <c r="F11" i="16"/>
  <c r="E11" i="16"/>
  <c r="D11" i="16"/>
  <c r="C11" i="16"/>
  <c r="J11" i="16"/>
  <c r="O6" i="15" l="1"/>
  <c r="O5" i="15"/>
  <c r="O7" i="15"/>
  <c r="O8" i="15"/>
  <c r="J6" i="15" l="1"/>
  <c r="J5" i="15"/>
  <c r="C11" i="15" l="1"/>
  <c r="AH8" i="13"/>
  <c r="AH7" i="13"/>
  <c r="AH6" i="13"/>
  <c r="AH5" i="13"/>
  <c r="M11" i="15"/>
  <c r="L11" i="15"/>
  <c r="K11" i="15"/>
  <c r="J11" i="15"/>
  <c r="I11" i="15"/>
  <c r="H11" i="15"/>
  <c r="G11" i="15"/>
  <c r="F11" i="15"/>
  <c r="E11" i="15"/>
  <c r="D11" i="15"/>
  <c r="N11" i="15"/>
  <c r="AP5" i="14" l="1"/>
  <c r="AQ5" i="14"/>
  <c r="AR5" i="14"/>
  <c r="AP6" i="14"/>
  <c r="AQ6" i="14"/>
  <c r="AR6" i="14"/>
  <c r="AP7" i="14"/>
  <c r="AQ7" i="14"/>
  <c r="AR7" i="14"/>
  <c r="AP8" i="14"/>
  <c r="AQ8" i="14"/>
  <c r="AR8" i="14"/>
  <c r="AL5" i="14" l="1"/>
  <c r="AM5" i="14"/>
  <c r="AN5" i="14"/>
  <c r="AL6" i="14"/>
  <c r="AM6" i="14"/>
  <c r="AN6" i="14"/>
  <c r="AL7" i="14"/>
  <c r="AM7" i="14"/>
  <c r="AN7" i="14"/>
  <c r="AL8" i="14"/>
  <c r="AM8" i="14"/>
  <c r="AN8" i="14"/>
  <c r="AH5" i="14" l="1"/>
  <c r="AI5" i="14"/>
  <c r="AJ5" i="14"/>
  <c r="AH6" i="14"/>
  <c r="AI6" i="14"/>
  <c r="AJ6" i="14"/>
  <c r="AH7" i="14"/>
  <c r="AI7" i="14"/>
  <c r="AJ7" i="14"/>
  <c r="AH8" i="14"/>
  <c r="AI8" i="14"/>
  <c r="AJ8" i="14"/>
  <c r="AD5" i="14" l="1"/>
  <c r="AE5" i="14"/>
  <c r="AF5" i="14"/>
  <c r="AD6" i="14"/>
  <c r="AE6" i="14"/>
  <c r="AF6" i="14"/>
  <c r="AD7" i="14"/>
  <c r="AE7" i="14"/>
  <c r="AF7" i="14"/>
  <c r="AD8" i="14"/>
  <c r="AE8" i="14"/>
  <c r="AF8" i="14"/>
  <c r="Z5" i="14" l="1"/>
  <c r="AA5" i="14"/>
  <c r="AB5" i="14"/>
  <c r="Z6" i="14"/>
  <c r="AA6" i="14"/>
  <c r="AB6" i="14"/>
  <c r="Z7" i="14"/>
  <c r="AA7" i="14"/>
  <c r="AB7" i="14"/>
  <c r="Z8" i="14"/>
  <c r="AA8" i="14"/>
  <c r="AB8" i="14"/>
  <c r="V5" i="14" l="1"/>
  <c r="W5" i="14"/>
  <c r="X5" i="14"/>
  <c r="V6" i="14"/>
  <c r="W6" i="14"/>
  <c r="X6" i="14"/>
  <c r="V7" i="14"/>
  <c r="W7" i="14"/>
  <c r="X7" i="14"/>
  <c r="V8" i="14"/>
  <c r="W8" i="14"/>
  <c r="X8" i="14"/>
  <c r="R5" i="14" l="1"/>
  <c r="S5" i="14"/>
  <c r="T5" i="14"/>
  <c r="R6" i="14"/>
  <c r="S6" i="14"/>
  <c r="T6" i="14"/>
  <c r="R7" i="14"/>
  <c r="S7" i="14"/>
  <c r="T7" i="14"/>
  <c r="R8" i="14"/>
  <c r="S8" i="14"/>
  <c r="T8" i="14"/>
  <c r="N5" i="14" l="1"/>
  <c r="O5" i="14"/>
  <c r="P5" i="14"/>
  <c r="N6" i="14"/>
  <c r="O6" i="14"/>
  <c r="P6" i="14"/>
  <c r="N7" i="14"/>
  <c r="O7" i="14"/>
  <c r="P7" i="14"/>
  <c r="N8" i="14"/>
  <c r="O8" i="14"/>
  <c r="P8" i="14"/>
  <c r="K5" i="14" l="1"/>
  <c r="L5" i="14"/>
  <c r="K6" i="14"/>
  <c r="L6" i="14"/>
  <c r="K7" i="14"/>
  <c r="L7" i="14"/>
  <c r="K8" i="14"/>
  <c r="L8" i="14"/>
  <c r="H5" i="14" l="1"/>
  <c r="I5" i="14"/>
  <c r="H6" i="14"/>
  <c r="I6" i="14"/>
  <c r="H7" i="14"/>
  <c r="I7" i="14"/>
  <c r="H8" i="14"/>
  <c r="I8" i="14"/>
  <c r="D11" i="14" l="1"/>
  <c r="W8" i="12"/>
  <c r="W7" i="12"/>
  <c r="W6" i="12"/>
  <c r="W5" i="12"/>
  <c r="AO11" i="14"/>
  <c r="AK11" i="14"/>
  <c r="AG11" i="14"/>
  <c r="Y11" i="14"/>
  <c r="U11" i="14"/>
  <c r="M11" i="14"/>
  <c r="J11" i="14"/>
  <c r="G11" i="14"/>
  <c r="AS11" i="14"/>
  <c r="AC11" i="14"/>
  <c r="Q11" i="14"/>
  <c r="AG5" i="13" l="1"/>
  <c r="AG6" i="13"/>
  <c r="AG7" i="13"/>
  <c r="AG8" i="13"/>
  <c r="AD11" i="13"/>
  <c r="U6" i="13"/>
  <c r="U5" i="13"/>
  <c r="R11" i="13"/>
  <c r="R6" i="13"/>
  <c r="R5" i="13"/>
  <c r="L11" i="13"/>
  <c r="L6" i="13"/>
  <c r="L5" i="13"/>
  <c r="L25" i="13"/>
  <c r="AG11" i="13"/>
  <c r="AA11" i="13"/>
  <c r="X11" i="13"/>
  <c r="U11" i="13"/>
  <c r="O11" i="13"/>
  <c r="I11" i="13"/>
  <c r="G11" i="13"/>
  <c r="E11" i="13"/>
  <c r="C11" i="13"/>
  <c r="O8" i="11"/>
  <c r="O7" i="11"/>
  <c r="O6" i="11"/>
  <c r="O5" i="11"/>
  <c r="I5" i="12"/>
  <c r="Q6" i="11"/>
  <c r="Q7" i="11"/>
  <c r="Q8" i="11"/>
  <c r="Q5" i="11"/>
  <c r="V11" i="12"/>
  <c r="T11" i="12"/>
  <c r="R11" i="12"/>
  <c r="P11" i="12"/>
  <c r="N11" i="12"/>
  <c r="J11" i="12"/>
  <c r="H11" i="12"/>
  <c r="F11" i="12"/>
  <c r="E11" i="12"/>
  <c r="D11" i="12"/>
  <c r="C11" i="12"/>
  <c r="L11" i="12"/>
  <c r="I5" i="11"/>
  <c r="N11" i="11"/>
  <c r="M11" i="11"/>
  <c r="K11" i="11"/>
  <c r="J11" i="11"/>
  <c r="H11" i="11"/>
  <c r="G11" i="11"/>
  <c r="E11" i="11"/>
  <c r="D11" i="11"/>
  <c r="C11" i="11"/>
  <c r="F11" i="11"/>
  <c r="L11" i="11"/>
  <c r="I11" i="11"/>
  <c r="L6" i="10"/>
  <c r="L5" i="10"/>
  <c r="I6" i="10"/>
  <c r="I5" i="10"/>
  <c r="F7" i="10"/>
  <c r="F6" i="10"/>
  <c r="F5" i="10"/>
  <c r="N11" i="10"/>
  <c r="L11" i="10"/>
  <c r="J11" i="10"/>
  <c r="G11" i="10"/>
  <c r="E11" i="10"/>
  <c r="C11" i="10"/>
  <c r="M11" i="10"/>
  <c r="K11" i="10"/>
  <c r="I11" i="10"/>
  <c r="H11" i="10"/>
  <c r="F11" i="10"/>
  <c r="D11" i="10"/>
  <c r="N11" i="9"/>
  <c r="M6" i="9"/>
  <c r="M5" i="9"/>
  <c r="M11" i="9"/>
  <c r="L11" i="9"/>
  <c r="K5" i="9"/>
  <c r="K6" i="9"/>
  <c r="K11" i="9"/>
  <c r="J11" i="9"/>
  <c r="I6" i="9"/>
  <c r="I5" i="9"/>
  <c r="I11" i="9"/>
  <c r="G11" i="9"/>
  <c r="H6" i="9"/>
  <c r="H5" i="9"/>
  <c r="H11" i="9"/>
  <c r="F6" i="9"/>
  <c r="F5" i="9"/>
  <c r="F11" i="9"/>
  <c r="E11" i="9"/>
  <c r="C6" i="9"/>
  <c r="C5" i="9"/>
  <c r="C11" i="9"/>
  <c r="D6" i="9"/>
  <c r="D5" i="9"/>
  <c r="D11" i="9"/>
  <c r="N9" i="8"/>
  <c r="M9" i="8"/>
  <c r="L9" i="8"/>
  <c r="K9" i="8"/>
  <c r="J9" i="8"/>
  <c r="I9" i="8"/>
  <c r="H9" i="8"/>
  <c r="G9" i="8"/>
  <c r="F9" i="8"/>
  <c r="E9" i="8"/>
  <c r="D9" i="8"/>
  <c r="C9" i="8"/>
  <c r="N9" i="7"/>
  <c r="M9" i="7"/>
  <c r="L9" i="7"/>
  <c r="K9" i="7"/>
  <c r="J9" i="7"/>
  <c r="I9" i="7"/>
  <c r="H9" i="7"/>
  <c r="G9" i="7"/>
  <c r="F9" i="7"/>
  <c r="E9" i="7"/>
  <c r="D9" i="7"/>
  <c r="C9" i="7"/>
  <c r="N9" i="6"/>
  <c r="M9" i="6"/>
  <c r="L9" i="6"/>
  <c r="K9" i="6"/>
  <c r="J9" i="6"/>
  <c r="I9" i="6"/>
  <c r="H9" i="6"/>
  <c r="G9" i="6"/>
  <c r="F9" i="6"/>
  <c r="E9" i="6"/>
  <c r="D9" i="6"/>
  <c r="C9" i="6"/>
</calcChain>
</file>

<file path=xl/sharedStrings.xml><?xml version="1.0" encoding="utf-8"?>
<sst xmlns="http://schemas.openxmlformats.org/spreadsheetml/2006/main" count="247" uniqueCount="35">
  <si>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</si>
  <si>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</si>
  <si>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</si>
  <si>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</si>
  <si>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</si>
  <si>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</si>
  <si>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</si>
  <si>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</si>
  <si>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</si>
  <si>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</si>
  <si>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</si>
  <si>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</si>
  <si>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</si>
  <si>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</si>
  <si>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</si>
  <si>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</si>
  <si>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ИТОГО</t>
  </si>
  <si>
    <t>Прочие потребители, кВтч</t>
  </si>
  <si>
    <t>Население, кВтч</t>
  </si>
  <si>
    <t>Филиал ОАО "МРСК Северного Кавказа" - "Ставропольэнерго"</t>
  </si>
  <si>
    <t>Информация о фактическом полезном отпуске электрической энергии (мощности) потребителям ООО "РУСЭНЕРГОСБЫТ" в границах Ставропольского края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</si>
  <si>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Ставропольского края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</si>
  <si>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Ставропольского края в разрезе ТСО за 2016 год</t>
  </si>
  <si>
    <t>Филиал ПАО "МРСК Северного Кавказа" - "Ставропольэнерго"</t>
  </si>
  <si>
    <t>Информация о фактическом полезном отпуске электрической энергии (мощности) потребителям ООО "РУСЭНЕРГОСБЫТ" в границах Ставропольского края в разрезе ТСО за 2017 год</t>
  </si>
  <si>
    <t>СН2</t>
  </si>
  <si>
    <t>НН</t>
  </si>
  <si>
    <t>Информация о фактическом полезном отпуске электрической энергии (мощности) потребителям ООО "РУСЭНЕРГОСБЫТ" в границах Ставропольского края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</si>
  <si>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Ставропольского края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</si>
  <si>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Ставропольского края в разрезе ТСО за 2020 год</t>
  </si>
  <si>
    <t>Филиал ПАО "Россети Северный Кавказ" - "Ставропольэнерго"</t>
  </si>
  <si>
    <t>Информация о фактическом полезном отпуске электрической энергии (мощности) потребителям ООО "РУСЭНЕРГОСБЫТ" в границах Ставропольского края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</si>
  <si>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Ставропольского края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</si>
  <si>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Ставропольского края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</si>
  <si>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Ставропольского края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</si>
</sst>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0" xfId="0" applyNumberFormat="1" applyFont="1"/>
    <xf numFmtId="3" fontId="2" fillId="0" borderId="4" xfId="0" applyNumberFormat="1" applyFont="1" applyBorder="1" applyAlignment="1">
      <alignment horizontal="center" vertical="center" wrapText="1"/>
    </xf>
    <xf numFmtId="164" fontId="3" fillId="2" borderId="3" xfId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0" fontId="2" fillId="2" borderId="0" xfId="0" applyFont="1" applyFill="1"/>
    <xf numFmtId="165" fontId="2" fillId="0" borderId="0" xfId="0" applyNumberFormat="1" applyFont="1"/>
    <xf numFmtId="3" fontId="3" fillId="2" borderId="3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5" fillId="2" borderId="0" xfId="0" applyFont="1" applyFill="1"/>
    <xf numFmtId="3" fontId="5" fillId="0" borderId="0" xfId="0" applyNumberFormat="1" applyFont="1"/>
    <xf numFmtId="3" fontId="4" fillId="0" borderId="0" xfId="0" applyNumberFormat="1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6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3" fontId="4" fillId="0" borderId="9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1/&#1057;&#1090;&#1072;&#1074;&#1088;&#1086;&#1087;&#1086;&#1083;&#1100;/12/&#1089;&#1077;&#1090;&#1080;,%20&#1086;&#1087;&#1090;/&#1048;&#1040;_&#1056;&#1046;&#1044;_&#1086;&#1087;&#1090;%20&#1089;&#1077;&#1090;&#1080;_12%20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05/&#1089;&#1073;&#1099;&#1090;/05.2022%20&#1048;&#1040;_&#1056;&#1054;&#1047;&#1053;&#1048;&#1062;&#104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06/&#1089;&#1073;&#1099;&#1090;/&#1048;&#1040;_&#1056;&#1054;&#1047;&#1053;&#1048;&#1062;&#1040;%20(8)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06/&#1089;&#1077;&#1090;&#1080;,%20&#1086;&#1087;&#1090;/&#1048;&#1040;_&#1056;&#1046;&#1044;_&#1086;&#1087;&#1090;%20&#1089;&#1077;&#1090;&#1080;_06%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07/&#1089;&#1073;&#1099;&#1090;/&#1048;&#1040;_&#1056;&#1054;&#1047;&#1053;&#1048;&#1062;&#1040;_08%20&#1048;&#1047;&#1052;&#1045;&#1053;&#1045;&#1053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07/&#1089;&#1077;&#1090;&#1080;,%20&#1086;&#1087;&#1090;/&#1048;&#1040;_&#1056;&#1046;&#1044;_&#1086;&#1087;&#1090;%20&#1089;&#1077;&#1090;&#1080;%20&#1048;&#1057;&#1055;&#1056;&#1040;&#1042;&#1051;&#1045;&#1053;%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08/&#1089;&#1073;&#1099;&#1090;/08.2022%20&#1048;&#1040;_&#1056;&#1054;&#1047;&#1053;&#1048;&#1062;&#1040;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08/&#1089;&#1077;&#1090;&#1080;,%20&#1086;&#1087;&#1090;/08%202022%20&#1048;&#1040;_&#1056;&#1046;&#1044;_&#1086;&#1087;&#1090;%20&#1089;&#1077;&#1090;&#108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09/&#1089;&#1077;&#1090;&#1080;,%20&#1086;&#1087;&#1090;/&#1048;&#1040;_&#1056;&#1046;&#1044;_&#1086;&#1087;&#1090;%20&#1089;&#1077;&#1090;&#1080;%20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09/&#1089;&#1073;&#1099;&#1090;/09.2022%20&#1048;&#1040;_&#1056;&#1054;&#1047;&#1053;&#1048;&#1062;&#104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10/&#1089;&#1077;&#1090;&#1080;,%20&#1086;&#1087;&#1090;/10.2022%20&#1048;&#1040;_&#1056;&#1046;&#1044;_&#1086;&#1087;&#1090;%20&#1089;&#1077;&#1090;&#108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1/&#1057;&#1090;&#1072;&#1074;&#1088;&#1086;&#1087;&#1086;&#1083;&#1100;/12/&#1089;&#1073;&#1099;&#1090;/12.2021%20&#1048;&#1040;_&#1056;&#1054;&#1047;&#1053;&#1048;&#1062;&#104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10/&#1089;&#1073;&#1099;&#1090;/&#1055;&#1056;&#1054;&#1042;&#1045;&#1056;&#1050;&#1040;%20&#1057;&#1041;&#1067;&#1058;%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11/&#1089;&#1077;&#1090;&#1080;,%20&#1086;&#1087;&#1090;/11.2022%20&#1048;&#1040;_&#1056;&#1046;&#1044;_&#1086;&#1087;&#1090;%20&#1089;&#1077;&#1090;&#1080;%20&#1080;&#1089;&#1087;&#1088;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11/&#1089;&#1073;&#1099;&#1090;/&#1055;&#1056;&#1054;&#1042;&#1045;&#1056;&#1050;&#1040;%20&#1057;&#1041;&#1067;&#1058;%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3/&#1057;&#1090;&#1072;&#1074;&#1088;&#1086;&#1087;&#1086;&#1083;&#1100;/10/&#1089;&#1073;&#1099;&#1090;/&#1055;&#1056;&#1054;&#1042;&#1045;&#1056;&#1050;&#1040;%20&#1057;&#1041;&#1067;&#1058;_10%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3/&#1057;&#1090;&#1072;&#1074;&#1088;&#1086;&#1087;&#1086;&#1083;&#1100;/10/&#1089;&#1077;&#1090;&#1080;,%20&#1086;&#1087;&#1090;/&#1048;&#1040;_&#1056;&#1046;&#1044;_&#1086;&#1087;&#1090;%20&#1089;&#1077;&#1090;&#1080;_10%20&#1085;&#1086;&#1074;&#1099;&#1081;%20&#1080;&#1089;&#1087;&#1088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4/&#1057;&#1090;&#1072;&#1074;&#1088;&#1086;&#1087;&#1086;&#1083;&#1100;/04/&#1057;&#1045;&#1058;&#1048;%20&#1054;&#1055;&#1058;/04.2024%20&#1048;&#1040;_&#1056;&#1046;&#1044;_&#1086;&#1087;&#1090;%20&#1089;&#1077;&#1090;&#108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4/&#1057;&#1090;&#1072;&#1074;&#1088;&#1086;&#1087;&#1086;&#1083;&#1100;/04/&#1056;&#1072;&#1089;&#1095;&#1077;&#1090;%20&#1056;&#1046;&#1044;%20&#1085;&#1077;&#1043;&#1055;%20&#1057;&#1090;&#1072;&#1074;&#1088;&#1086;&#1087;&#1086;&#1083;&#1100;%2004_2024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02/&#1089;&#1077;&#1090;&#1080;,%20&#1086;&#1087;&#1090;/02.2022%20&#1048;&#1040;_&#1056;&#1046;&#1044;_&#1086;&#1087;&#1090;%20&#1089;&#1077;&#1090;&#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02/&#1089;&#1073;&#1099;&#1090;/02.2022%20&#1048;&#1040;_&#1056;&#1054;&#1047;&#1053;&#1048;&#1062;&#104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03/&#1089;&#1077;&#1090;&#1080;,%20&#1086;&#1087;&#1090;/&#1048;&#1040;_&#1056;&#1046;&#1044;_&#1086;&#1087;&#1090;%20&#1089;&#1077;&#1090;&#1080;_03%20&#1087;&#1077;&#1088;&#1074;&#1099;&#1081;%20&#1090;&#1086;&#1078;&#1077;%20&#1080;&#1089;&#1087;&#1088;%20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03/&#1089;&#1073;&#1099;&#1090;/&#1048;&#1040;_&#1056;&#1054;&#1047;&#1053;&#1048;&#1062;&#1040;_0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04/&#1089;&#1077;&#1090;&#1080;,%20&#1086;&#1087;&#1090;/04.2022%20&#1048;&#1040;_&#1056;&#1046;&#1044;_&#1086;&#1087;&#1090;%20&#1089;&#1077;&#1090;&#108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04/&#1089;&#1073;&#1099;&#1090;/&#1048;&#1040;_&#1056;&#1054;&#1047;&#1053;&#1048;&#1062;&#1040;%20_0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90;&#1072;&#1074;&#1088;&#1086;&#1087;&#1086;&#1083;&#1100;/05/&#1089;&#1077;&#1090;&#1080;,%20&#1086;&#1087;&#1090;/05.2022%20&#1048;&#1040;_&#1056;&#1046;&#1044;_&#1086;&#1087;&#1090;%20&#1089;&#1077;&#1090;&#1080;%20&#1085;&#1086;&#1074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_Став. опт согл с ржд по МВИ"/>
      <sheetName val="почасовка"/>
    </sheetNames>
    <sheetDataSet>
      <sheetData sheetId="0">
        <row r="232">
          <cell r="J232">
            <v>8044348</v>
          </cell>
        </row>
        <row r="233">
          <cell r="J233">
            <v>59296</v>
          </cell>
        </row>
        <row r="234">
          <cell r="J234">
            <v>1400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НИЦА"/>
      <sheetName val="без ФСК №600126"/>
      <sheetName val="ФСК красный №600160"/>
      <sheetName val="подписи"/>
    </sheetNames>
    <sheetDataSet>
      <sheetData sheetId="0">
        <row r="213">
          <cell r="J213">
            <v>1206640.2799999975</v>
          </cell>
        </row>
        <row r="214">
          <cell r="J214">
            <v>720378.27999999747</v>
          </cell>
        </row>
        <row r="215">
          <cell r="J215">
            <v>334935</v>
          </cell>
        </row>
        <row r="216">
          <cell r="J216">
            <v>149497</v>
          </cell>
        </row>
        <row r="217">
          <cell r="J217">
            <v>1830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НИЦА"/>
      <sheetName val="без ФСК №600126"/>
      <sheetName val="ФСК красный№600160"/>
      <sheetName val="подписи"/>
    </sheetNames>
    <sheetDataSet>
      <sheetData sheetId="0">
        <row r="214">
          <cell r="J214">
            <v>1070922.7200000007</v>
          </cell>
        </row>
        <row r="215">
          <cell r="J215">
            <v>560026.72000000067</v>
          </cell>
        </row>
        <row r="216">
          <cell r="J216">
            <v>392090</v>
          </cell>
        </row>
        <row r="217">
          <cell r="J217">
            <v>117293</v>
          </cell>
        </row>
        <row r="218">
          <cell r="J218">
            <v>1513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_Став. опт согл с ржд по МВИ"/>
      <sheetName val="почасовка"/>
    </sheetNames>
    <sheetDataSet>
      <sheetData sheetId="0">
        <row r="237">
          <cell r="J237">
            <v>9130982</v>
          </cell>
        </row>
        <row r="238">
          <cell r="J238">
            <v>9096546</v>
          </cell>
        </row>
        <row r="239">
          <cell r="J239">
            <v>33828</v>
          </cell>
        </row>
        <row r="240">
          <cell r="J240">
            <v>608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НИЦА"/>
      <sheetName val="без ФСК№600126"/>
      <sheetName val="ФСК№600160"/>
      <sheetName val="подписи"/>
    </sheetNames>
    <sheetDataSet>
      <sheetData sheetId="0" refreshError="1">
        <row r="216">
          <cell r="J216">
            <v>1066977.4000000022</v>
          </cell>
        </row>
        <row r="217">
          <cell r="J217">
            <v>646521.40000000224</v>
          </cell>
        </row>
        <row r="218">
          <cell r="J218">
            <v>285723</v>
          </cell>
        </row>
        <row r="219">
          <cell r="J219">
            <v>133803</v>
          </cell>
        </row>
        <row r="220">
          <cell r="J220">
            <v>930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_Став. опт согл с ржд по МВИ"/>
      <sheetName val="почасовка"/>
    </sheetNames>
    <sheetDataSet>
      <sheetData sheetId="0">
        <row r="244">
          <cell r="J244">
            <v>9049413</v>
          </cell>
        </row>
        <row r="245">
          <cell r="J245">
            <v>9020462</v>
          </cell>
        </row>
        <row r="246">
          <cell r="J246">
            <v>28322</v>
          </cell>
        </row>
        <row r="247">
          <cell r="J247">
            <v>629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НИЦА"/>
      <sheetName val="без фск 600126"/>
      <sheetName val="фск 600160"/>
      <sheetName val="подписи"/>
    </sheetNames>
    <sheetDataSet>
      <sheetData sheetId="0">
        <row r="216">
          <cell r="J216">
            <v>1065682.559999997</v>
          </cell>
        </row>
        <row r="217">
          <cell r="J217">
            <v>569699.55999999703</v>
          </cell>
        </row>
        <row r="218">
          <cell r="J218">
            <v>354049</v>
          </cell>
        </row>
        <row r="219">
          <cell r="J219">
            <v>139681</v>
          </cell>
        </row>
        <row r="220">
          <cell r="J220">
            <v>2253</v>
          </cell>
        </row>
      </sheetData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_Став. опт согл с ржд по МВИ"/>
      <sheetName val="почасовка"/>
    </sheetNames>
    <sheetDataSet>
      <sheetData sheetId="0">
        <row r="246">
          <cell r="J246">
            <v>8778538</v>
          </cell>
        </row>
        <row r="247">
          <cell r="J247">
            <v>8746676</v>
          </cell>
        </row>
        <row r="248">
          <cell r="J248">
            <v>31222</v>
          </cell>
        </row>
        <row r="249">
          <cell r="J249">
            <v>640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_Став. опт согл с ржд по МВИ"/>
      <sheetName val="почасовка"/>
    </sheetNames>
    <sheetDataSet>
      <sheetData sheetId="0">
        <row r="251">
          <cell r="J251">
            <v>8194236</v>
          </cell>
        </row>
        <row r="252">
          <cell r="J252">
            <v>28294</v>
          </cell>
        </row>
        <row r="253">
          <cell r="J253">
            <v>633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НИЦА"/>
      <sheetName val="без фск"/>
      <sheetName val="фск600160"/>
      <sheetName val="почасовка"/>
      <sheetName val="атс"/>
      <sheetName val="мощность КО"/>
    </sheetNames>
    <sheetDataSet>
      <sheetData sheetId="0">
        <row r="218">
          <cell r="J218">
            <v>413068.68000000063</v>
          </cell>
        </row>
        <row r="219">
          <cell r="J219">
            <v>275827</v>
          </cell>
        </row>
        <row r="220">
          <cell r="J220">
            <v>99295</v>
          </cell>
        </row>
        <row r="221">
          <cell r="J221">
            <v>994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_Став. опт согл с ржд по МВИ"/>
      <sheetName val="почасовка"/>
    </sheetNames>
    <sheetDataSet>
      <sheetData sheetId="0">
        <row r="252">
          <cell r="J252">
            <v>8497820</v>
          </cell>
        </row>
        <row r="253">
          <cell r="J253">
            <v>8458176</v>
          </cell>
        </row>
        <row r="254">
          <cell r="J254">
            <v>39015</v>
          </cell>
        </row>
        <row r="255">
          <cell r="J255">
            <v>629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НИЦА"/>
      <sheetName val="РОЗНИЦА без фск"/>
    </sheetNames>
    <sheetDataSet>
      <sheetData sheetId="0">
        <row r="213">
          <cell r="J213">
            <v>1267525.2399999993</v>
          </cell>
        </row>
        <row r="214">
          <cell r="J214">
            <v>574601</v>
          </cell>
        </row>
        <row r="215">
          <cell r="J215">
            <v>273933</v>
          </cell>
        </row>
        <row r="216">
          <cell r="J216">
            <v>3742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А РОЗНИЦА копируем"/>
      <sheetName val="без фск"/>
      <sheetName val="фск600160"/>
      <sheetName val="подписи"/>
      <sheetName val="почасовка и проверка"/>
      <sheetName val="атс"/>
      <sheetName val="мощность КО"/>
    </sheetNames>
    <sheetDataSet>
      <sheetData sheetId="0" refreshError="1">
        <row r="219">
          <cell r="J219">
            <v>1317373</v>
          </cell>
        </row>
        <row r="220">
          <cell r="J220">
            <v>750778</v>
          </cell>
        </row>
        <row r="221">
          <cell r="J221">
            <v>374164</v>
          </cell>
        </row>
        <row r="222">
          <cell r="J222">
            <v>190950</v>
          </cell>
        </row>
        <row r="223">
          <cell r="J223">
            <v>1481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_Став. опт согл с ржд по МВИ"/>
      <sheetName val="почасовка"/>
    </sheetNames>
    <sheetDataSet>
      <sheetData sheetId="0">
        <row r="253">
          <cell r="J253">
            <v>8157252</v>
          </cell>
        </row>
        <row r="254">
          <cell r="J254">
            <v>46757</v>
          </cell>
        </row>
        <row r="255">
          <cell r="J255">
            <v>580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А РОЗНИЦА копируем"/>
      <sheetName val="без фск"/>
      <sheetName val="фск600160"/>
      <sheetName val="подписи"/>
      <sheetName val="почасовка и проверка"/>
      <sheetName val="атс"/>
      <sheetName val="мощность КО"/>
    </sheetNames>
    <sheetDataSet>
      <sheetData sheetId="0" refreshError="1">
        <row r="222">
          <cell r="J222">
            <v>1028749</v>
          </cell>
        </row>
        <row r="223">
          <cell r="J223">
            <v>408059</v>
          </cell>
        </row>
        <row r="224">
          <cell r="J224">
            <v>207529</v>
          </cell>
        </row>
        <row r="225">
          <cell r="J225">
            <v>1604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А РОЗНИЦА копируем"/>
      <sheetName val="без фск"/>
      <sheetName val="фск600160"/>
      <sheetName val="подписи"/>
      <sheetName val="почасовка и проверка"/>
      <sheetName val="атс"/>
      <sheetName val="мощность КО"/>
    </sheetNames>
    <sheetDataSet>
      <sheetData sheetId="0">
        <row r="226">
          <cell r="J226">
            <v>790937</v>
          </cell>
        </row>
        <row r="227">
          <cell r="J227">
            <v>299423</v>
          </cell>
        </row>
        <row r="228">
          <cell r="J228">
            <v>158862</v>
          </cell>
        </row>
        <row r="229">
          <cell r="J229">
            <v>1105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_Став. опт согл с ржд по МВИ"/>
      <sheetName val="почасовка"/>
    </sheetNames>
    <sheetDataSet>
      <sheetData sheetId="0">
        <row r="295">
          <cell r="J295">
            <v>6883181</v>
          </cell>
        </row>
        <row r="296">
          <cell r="J296">
            <v>41355</v>
          </cell>
        </row>
        <row r="297">
          <cell r="J297">
            <v>709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_Став. опт согл с ржд по МВИ"/>
      <sheetName val="почасовка"/>
    </sheetNames>
    <sheetDataSet>
      <sheetData sheetId="0">
        <row r="295">
          <cell r="J295">
            <v>7976465</v>
          </cell>
        </row>
        <row r="296">
          <cell r="J296">
            <v>23454</v>
          </cell>
        </row>
        <row r="297">
          <cell r="J297">
            <v>646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щность СО"/>
      <sheetName val="1Интерв акт СО  ВН 1 сов"/>
      <sheetName val="2Интерв акт СО  СН1 сов 1"/>
      <sheetName val="Расчет Кировэнергосбыт для эф-т"/>
      <sheetName val="3Интерв акт СО 2сов СН1"/>
      <sheetName val="4Интерв акт СО 3 сов СН1"/>
      <sheetName val="5Интерв акт СО  5 сов ВН"/>
      <sheetName val="6Интерв акт СН2  5 сов "/>
      <sheetName val="7Интерв акт СО  ВН 6 сов "/>
      <sheetName val="8Интерв акт СО СН2 6 сов  "/>
      <sheetName val="9Интерв акт СО 8 сов ВН ФСК"/>
      <sheetName val="10Интерв акт СО 9 сов сн2"/>
      <sheetName val="11Инт.акт ВН не сов ме670 ф162 "/>
      <sheetName val="12Инт.акт СО 7сов СН1"/>
      <sheetName val="13Инт.акт СО 7 сов СН2"/>
      <sheetName val="14Инт.акт СО вне свк СН2"/>
      <sheetName val="15Инт.акт СО вне свк СН2"/>
      <sheetName val="16Инт.акт СО вне свк СН2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мощ КО СЭС"/>
      <sheetName val="мощ КО П"/>
      <sheetName val="мощ КО К"/>
      <sheetName val="мощ КО Н"/>
      <sheetName val="мощ КО Б"/>
      <sheetName val="мощ КО СКЭ"/>
      <sheetName val="проверка мощности КО"/>
      <sheetName val="выгрузка"/>
      <sheetName val="почасовки для сбыта"/>
      <sheetName val="АТС С"/>
      <sheetName val="АТС П"/>
      <sheetName val="АТС К"/>
      <sheetName val="АТС Н"/>
      <sheetName val="АТС Б"/>
      <sheetName val="АТС СКЭ"/>
      <sheetName val="ИА СТАВРОПОЛЬ"/>
      <sheetName val="ИА Пятигорск"/>
      <sheetName val="ИА Горэлектросеть Кисл"/>
      <sheetName val="ИА Гоэлектросеть Невин"/>
      <sheetName val="ИА Буденновск"/>
      <sheetName val="ИА Ставрополькоммунэлектро"/>
      <sheetName val="расчет цен по НОВОМУ "/>
      <sheetName val="средневзвес"/>
      <sheetName val="для 1С ээ"/>
      <sheetName val="для 1С потери"/>
      <sheetName val="новые"/>
      <sheetName val="ШАБЛОН"/>
      <sheetName val="расчет цен по ПС"/>
      <sheetName val="мощн АТС"/>
      <sheetName val="час гп"/>
      <sheetName val="для дороги"/>
      <sheetName val="розница (выгр от сбыта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27">
          <cell r="S27">
            <v>600423</v>
          </cell>
        </row>
        <row r="28">
          <cell r="S28">
            <v>270958</v>
          </cell>
        </row>
        <row r="29">
          <cell r="S29">
            <v>244399</v>
          </cell>
        </row>
        <row r="30">
          <cell r="S30">
            <v>13073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_Став. опт согл с ржд по МВИ"/>
      <sheetName val="почасовка"/>
    </sheetNames>
    <sheetDataSet>
      <sheetData sheetId="0">
        <row r="237">
          <cell r="J237">
            <v>7938850</v>
          </cell>
        </row>
        <row r="238">
          <cell r="J238">
            <v>7880996</v>
          </cell>
        </row>
        <row r="239">
          <cell r="J239">
            <v>56060</v>
          </cell>
        </row>
        <row r="240">
          <cell r="J240">
            <v>1794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НИЦА"/>
      <sheetName val="РОЗНИЦА без фск"/>
    </sheetNames>
    <sheetDataSet>
      <sheetData sheetId="0">
        <row r="212">
          <cell r="J212">
            <v>1829599.6799999988</v>
          </cell>
        </row>
        <row r="213">
          <cell r="J213">
            <v>1129867.6799999988</v>
          </cell>
        </row>
        <row r="214">
          <cell r="J214">
            <v>467693</v>
          </cell>
        </row>
        <row r="215">
          <cell r="J215">
            <v>230315</v>
          </cell>
        </row>
        <row r="216">
          <cell r="J216">
            <v>1724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_Став. опт согл с ржд по МВИ"/>
      <sheetName val="почасовка"/>
    </sheetNames>
    <sheetDataSet>
      <sheetData sheetId="0">
        <row r="255">
          <cell r="J255">
            <v>9166012</v>
          </cell>
        </row>
        <row r="256">
          <cell r="J256">
            <v>9106298</v>
          </cell>
        </row>
        <row r="257">
          <cell r="J257">
            <v>57489</v>
          </cell>
        </row>
        <row r="258">
          <cell r="J258">
            <v>2225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НИЦА ОБЩИЙ"/>
      <sheetName val="без ФСК"/>
      <sheetName val="ФСК"/>
      <sheetName val="подписи"/>
    </sheetNames>
    <sheetDataSet>
      <sheetData sheetId="0">
        <row r="215">
          <cell r="J215">
            <v>2226709.9199999995</v>
          </cell>
        </row>
        <row r="216">
          <cell r="U216">
            <v>1292883</v>
          </cell>
        </row>
        <row r="217">
          <cell r="J217">
            <v>592179</v>
          </cell>
        </row>
        <row r="218">
          <cell r="J218">
            <v>274597</v>
          </cell>
        </row>
        <row r="219">
          <cell r="J219">
            <v>1834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_Став. опт согл с ржд по МВИ"/>
      <sheetName val="почасовка"/>
    </sheetNames>
    <sheetDataSet>
      <sheetData sheetId="0">
        <row r="273">
          <cell r="J273">
            <v>8203079</v>
          </cell>
        </row>
        <row r="274">
          <cell r="J274">
            <v>8162071</v>
          </cell>
        </row>
        <row r="275">
          <cell r="J275">
            <v>39450</v>
          </cell>
        </row>
        <row r="276">
          <cell r="J276">
            <v>1558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НИЦА"/>
      <sheetName val="без ФСК"/>
      <sheetName val="ФСК красный цвет"/>
      <sheetName val="подписи"/>
    </sheetNames>
    <sheetDataSet>
      <sheetData sheetId="0">
        <row r="217">
          <cell r="J217">
            <v>1204243.3200000026</v>
          </cell>
        </row>
        <row r="218">
          <cell r="J218">
            <v>695739.32000000263</v>
          </cell>
        </row>
        <row r="219">
          <cell r="J219">
            <v>342095</v>
          </cell>
        </row>
        <row r="220">
          <cell r="J220">
            <v>164722</v>
          </cell>
        </row>
        <row r="221">
          <cell r="J221">
            <v>1687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_Став. опт согл с ржд по МВИ"/>
      <sheetName val="почасовка"/>
    </sheetNames>
    <sheetDataSet>
      <sheetData sheetId="0">
        <row r="235">
          <cell r="J235">
            <v>8187608</v>
          </cell>
        </row>
        <row r="236">
          <cell r="J236">
            <v>8151655</v>
          </cell>
        </row>
        <row r="237">
          <cell r="J237">
            <v>35344</v>
          </cell>
        </row>
        <row r="238">
          <cell r="J238">
            <v>609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topLeftCell="E1" workbookViewId="0">
      <selection activeCell="E19" sqref="E1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4" t="s">
        <v>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8" t="s">
        <v>19</v>
      </c>
      <c r="B4" s="35" t="s">
        <v>17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4" ht="22.5" customHeight="1" x14ac:dyDescent="0.25">
      <c r="A5" s="39"/>
      <c r="B5" s="5" t="s">
        <v>14</v>
      </c>
      <c r="C5" s="3"/>
      <c r="D5" s="3"/>
      <c r="E5" s="3"/>
      <c r="F5" s="3"/>
      <c r="G5" s="3"/>
      <c r="H5" s="3"/>
      <c r="I5" s="3">
        <v>9062290</v>
      </c>
      <c r="J5" s="3">
        <v>9230970</v>
      </c>
      <c r="K5" s="3">
        <v>8121596</v>
      </c>
      <c r="L5" s="3">
        <v>8611181</v>
      </c>
      <c r="M5" s="3">
        <v>8420213</v>
      </c>
      <c r="N5" s="3">
        <v>8802176</v>
      </c>
    </row>
    <row r="6" spans="1:14" ht="22.5" customHeight="1" x14ac:dyDescent="0.25">
      <c r="A6" s="39"/>
      <c r="B6" s="5" t="s">
        <v>15</v>
      </c>
      <c r="C6" s="3"/>
      <c r="D6" s="3"/>
      <c r="E6" s="3"/>
      <c r="F6" s="3"/>
      <c r="G6" s="3"/>
      <c r="H6" s="3"/>
      <c r="I6" s="3"/>
      <c r="J6" s="3"/>
      <c r="K6" s="3">
        <v>51646</v>
      </c>
      <c r="L6" s="3">
        <v>65975</v>
      </c>
      <c r="M6" s="3">
        <v>75756</v>
      </c>
      <c r="N6" s="3">
        <v>88125</v>
      </c>
    </row>
    <row r="7" spans="1:14" ht="22.5" customHeight="1" x14ac:dyDescent="0.25">
      <c r="A7" s="39"/>
      <c r="B7" s="35" t="s">
        <v>18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</row>
    <row r="8" spans="1:14" ht="22.5" customHeight="1" x14ac:dyDescent="0.25">
      <c r="A8" s="39"/>
      <c r="B8" s="4"/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22.5" customHeight="1" x14ac:dyDescent="0.25">
      <c r="A9" s="32" t="s">
        <v>16</v>
      </c>
      <c r="B9" s="33"/>
      <c r="C9" s="9">
        <f t="shared" ref="C9:N9" si="0">SUM(C5:C6,C8)</f>
        <v>0</v>
      </c>
      <c r="D9" s="9">
        <f t="shared" si="0"/>
        <v>0</v>
      </c>
      <c r="E9" s="9">
        <f t="shared" si="0"/>
        <v>0</v>
      </c>
      <c r="F9" s="9">
        <f t="shared" si="0"/>
        <v>0</v>
      </c>
      <c r="G9" s="9">
        <f t="shared" si="0"/>
        <v>0</v>
      </c>
      <c r="H9" s="9">
        <f t="shared" si="0"/>
        <v>0</v>
      </c>
      <c r="I9" s="9">
        <f t="shared" si="0"/>
        <v>9062290</v>
      </c>
      <c r="J9" s="9">
        <f t="shared" si="0"/>
        <v>9230970</v>
      </c>
      <c r="K9" s="9">
        <f t="shared" si="0"/>
        <v>8173242</v>
      </c>
      <c r="L9" s="9">
        <f t="shared" si="0"/>
        <v>8677156</v>
      </c>
      <c r="M9" s="9">
        <f t="shared" si="0"/>
        <v>8495969</v>
      </c>
      <c r="N9" s="9">
        <f t="shared" si="0"/>
        <v>8890301</v>
      </c>
    </row>
    <row r="11" spans="1:14" ht="22.5" customHeight="1" x14ac:dyDescent="0.25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</sheetData>
  <mergeCells count="5">
    <mergeCell ref="A9:B9"/>
    <mergeCell ref="A2:N2"/>
    <mergeCell ref="B4:N4"/>
    <mergeCell ref="A4:A8"/>
    <mergeCell ref="B7:N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zoomScaleNormal="100" workbookViewId="0">
      <pane xSplit="2" ySplit="4" topLeftCell="L5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8" width="20.28515625" style="1" customWidth="1"/>
    <col min="9" max="9" width="20.28515625" style="15" customWidth="1"/>
    <col min="10" max="14" width="20.28515625" style="1" customWidth="1"/>
    <col min="15" max="15" width="10.140625" style="1" bestFit="1" customWidth="1"/>
    <col min="16" max="16" width="9.140625" style="1"/>
    <col min="17" max="17" width="10.140625" style="1" bestFit="1" customWidth="1"/>
    <col min="18" max="16384" width="9.140625" style="1"/>
  </cols>
  <sheetData>
    <row r="2" spans="1:17" ht="42.75" customHeight="1" x14ac:dyDescent="0.25">
      <c r="A2" s="34" t="s">
        <v>33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2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7" ht="22.5" customHeight="1" x14ac:dyDescent="0.25">
      <c r="A4" s="38" t="s">
        <v>30</v>
      </c>
      <c r="B4" s="35" t="s">
        <v>17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7" ht="22.5" customHeight="1" x14ac:dyDescent="0.25">
      <c r="A5" s="39"/>
      <c r="B5" s="5" t="s">
        <v>14</v>
      </c>
      <c r="C5" s="3">
        <v>10723585</v>
      </c>
      <c r="D5" s="3">
        <v>9549844</v>
      </c>
      <c r="E5" s="3">
        <v>10316541</v>
      </c>
      <c r="F5" s="3">
        <v>8522188</v>
      </c>
      <c r="G5" s="3">
        <v>11307165</v>
      </c>
      <c r="H5" s="3">
        <v>9587478</v>
      </c>
      <c r="I5" s="3">
        <v>10519857</v>
      </c>
      <c r="J5" s="3">
        <f>8964537+601389</f>
        <v>9565926</v>
      </c>
      <c r="K5" s="3">
        <v>8163178</v>
      </c>
      <c r="L5" s="3">
        <v>7674118</v>
      </c>
      <c r="M5" s="3">
        <v>7841249</v>
      </c>
      <c r="N5" s="3">
        <v>9672227</v>
      </c>
      <c r="O5" s="28">
        <f>'[23]ИА РОЗНИЦА копируем'!$J226+'[24]РУС_Став. опт согл с ржд по МВИ'!$J$295</f>
        <v>7674118</v>
      </c>
      <c r="P5" s="10"/>
      <c r="Q5" s="10"/>
    </row>
    <row r="6" spans="1:17" ht="22.5" customHeight="1" x14ac:dyDescent="0.25">
      <c r="A6" s="39"/>
      <c r="B6" s="5" t="s">
        <v>15</v>
      </c>
      <c r="C6" s="3">
        <v>609774</v>
      </c>
      <c r="D6" s="3">
        <v>565141</v>
      </c>
      <c r="E6" s="3">
        <v>466067</v>
      </c>
      <c r="F6" s="3">
        <v>367127</v>
      </c>
      <c r="G6" s="3">
        <v>326262</v>
      </c>
      <c r="H6" s="3">
        <v>298528</v>
      </c>
      <c r="I6" s="3">
        <v>347774</v>
      </c>
      <c r="J6" s="3">
        <f>38556+365436</f>
        <v>403992</v>
      </c>
      <c r="K6" s="3">
        <v>340679</v>
      </c>
      <c r="L6" s="3">
        <v>341487</v>
      </c>
      <c r="M6" s="3">
        <v>398520</v>
      </c>
      <c r="N6" s="3">
        <v>647496</v>
      </c>
      <c r="O6" s="28">
        <f>'[23]ИА РОЗНИЦА копируем'!$J227+'[24]РУС_Став. опт согл с ржд по МВИ'!$J$296+'[24]РУС_Став. опт согл с ржд по МВИ'!$J$297</f>
        <v>341487</v>
      </c>
      <c r="P6" s="10"/>
      <c r="Q6" s="10"/>
    </row>
    <row r="7" spans="1:17" ht="22.5" customHeight="1" x14ac:dyDescent="0.25">
      <c r="A7" s="39"/>
      <c r="B7" s="11" t="s">
        <v>25</v>
      </c>
      <c r="C7" s="3">
        <v>278715</v>
      </c>
      <c r="D7" s="3">
        <v>245536.68</v>
      </c>
      <c r="E7" s="3">
        <v>221278</v>
      </c>
      <c r="F7" s="3">
        <v>161234</v>
      </c>
      <c r="G7" s="3">
        <v>128700</v>
      </c>
      <c r="H7" s="3">
        <v>113151</v>
      </c>
      <c r="I7" s="3">
        <v>143841</v>
      </c>
      <c r="J7" s="3">
        <v>131539</v>
      </c>
      <c r="K7" s="3">
        <v>100012</v>
      </c>
      <c r="L7" s="3">
        <v>158862</v>
      </c>
      <c r="M7" s="3">
        <v>217448.53599999996</v>
      </c>
      <c r="N7" s="3">
        <v>290968.40000000002</v>
      </c>
      <c r="O7" s="28">
        <f>'[23]ИА РОЗНИЦА копируем'!$J228</f>
        <v>158862</v>
      </c>
      <c r="P7" s="10"/>
      <c r="Q7" s="10"/>
    </row>
    <row r="8" spans="1:17" ht="22.5" customHeight="1" x14ac:dyDescent="0.25">
      <c r="A8" s="39"/>
      <c r="B8" s="11" t="s">
        <v>26</v>
      </c>
      <c r="C8" s="3">
        <v>2150</v>
      </c>
      <c r="D8" s="3">
        <v>1864</v>
      </c>
      <c r="E8" s="3">
        <v>1908</v>
      </c>
      <c r="F8" s="3">
        <v>1206</v>
      </c>
      <c r="G8" s="3">
        <v>1169</v>
      </c>
      <c r="H8" s="3">
        <v>969</v>
      </c>
      <c r="I8" s="3">
        <v>768</v>
      </c>
      <c r="J8" s="3">
        <v>894</v>
      </c>
      <c r="K8" s="3">
        <v>1145</v>
      </c>
      <c r="L8" s="3">
        <v>1105</v>
      </c>
      <c r="M8" s="3">
        <v>1375</v>
      </c>
      <c r="N8" s="3">
        <v>1760</v>
      </c>
      <c r="O8" s="28">
        <f>'[23]ИА РОЗНИЦА копируем'!$J229</f>
        <v>1105</v>
      </c>
      <c r="P8" s="10"/>
      <c r="Q8" s="10"/>
    </row>
    <row r="9" spans="1:17" ht="22.5" customHeight="1" x14ac:dyDescent="0.25">
      <c r="A9" s="39"/>
      <c r="B9" s="35" t="s">
        <v>18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</row>
    <row r="10" spans="1:17" ht="22.5" customHeight="1" x14ac:dyDescent="0.25">
      <c r="A10" s="39"/>
      <c r="B10" s="4"/>
      <c r="C10" s="3"/>
      <c r="D10" s="3"/>
      <c r="E10" s="3"/>
      <c r="F10" s="3"/>
      <c r="G10" s="3"/>
      <c r="H10" s="3"/>
      <c r="I10" s="13"/>
      <c r="J10" s="3"/>
      <c r="K10" s="3"/>
      <c r="L10" s="3"/>
      <c r="M10" s="3"/>
      <c r="N10" s="3"/>
    </row>
    <row r="11" spans="1:17" ht="22.5" customHeight="1" x14ac:dyDescent="0.25">
      <c r="A11" s="32" t="s">
        <v>16</v>
      </c>
      <c r="B11" s="33"/>
      <c r="C11" s="9">
        <f t="shared" ref="C11:H11" si="0">SUM(C5:C8,C10)</f>
        <v>11614224</v>
      </c>
      <c r="D11" s="9">
        <f t="shared" si="0"/>
        <v>10362385.68</v>
      </c>
      <c r="E11" s="9">
        <f t="shared" si="0"/>
        <v>11005794</v>
      </c>
      <c r="F11" s="17">
        <f t="shared" si="0"/>
        <v>9051755</v>
      </c>
      <c r="G11" s="17">
        <f>SUM(G5:G8,G10)</f>
        <v>11763296</v>
      </c>
      <c r="H11" s="17">
        <f t="shared" si="0"/>
        <v>10000126</v>
      </c>
      <c r="I11" s="17">
        <f t="shared" ref="I11:N11" si="1">SUM(I5:I8,I10)</f>
        <v>11012240</v>
      </c>
      <c r="J11" s="17">
        <f t="shared" si="1"/>
        <v>10102351</v>
      </c>
      <c r="K11" s="9">
        <f t="shared" si="1"/>
        <v>8605014</v>
      </c>
      <c r="L11" s="9">
        <f t="shared" si="1"/>
        <v>8175572</v>
      </c>
      <c r="M11" s="9">
        <f t="shared" si="1"/>
        <v>8458592.5360000003</v>
      </c>
      <c r="N11" s="9">
        <f t="shared" si="1"/>
        <v>10612451.4</v>
      </c>
    </row>
    <row r="12" spans="1:17" ht="22.5" customHeight="1" x14ac:dyDescent="0.25">
      <c r="C12" s="10"/>
      <c r="D12" s="10"/>
      <c r="E12" s="10"/>
      <c r="F12" s="10"/>
      <c r="G12" s="10"/>
      <c r="H12" s="10"/>
      <c r="I12" s="14"/>
      <c r="J12" s="10"/>
      <c r="K12" s="10"/>
      <c r="L12" s="10"/>
      <c r="M12" s="10"/>
      <c r="N12" s="10"/>
    </row>
    <row r="13" spans="1:17" ht="24" customHeight="1" x14ac:dyDescent="0.25">
      <c r="C13" s="10"/>
      <c r="D13" s="10"/>
      <c r="F13" s="10"/>
      <c r="G13" s="21"/>
      <c r="I13" s="14"/>
      <c r="J13" s="10"/>
      <c r="M13" s="10"/>
      <c r="N13" s="10"/>
    </row>
    <row r="14" spans="1:17" ht="22.5" customHeight="1" x14ac:dyDescent="0.25">
      <c r="C14" s="10"/>
      <c r="D14" s="10"/>
      <c r="E14" s="10"/>
      <c r="F14" s="10"/>
      <c r="G14" s="10"/>
      <c r="H14" s="10"/>
      <c r="I14" s="14"/>
      <c r="J14" s="10"/>
      <c r="K14" s="10"/>
      <c r="L14" s="10"/>
    </row>
    <row r="15" spans="1:17" ht="22.5" customHeight="1" x14ac:dyDescent="0.25">
      <c r="C15" s="10"/>
      <c r="D15" s="10"/>
      <c r="E15" s="10"/>
      <c r="F15" s="10"/>
      <c r="G15" s="10"/>
      <c r="H15" s="10"/>
      <c r="J15" s="10"/>
      <c r="K15" s="16"/>
      <c r="L15" s="16"/>
    </row>
    <row r="16" spans="1:17" ht="22.5" customHeight="1" x14ac:dyDescent="0.25">
      <c r="J16" s="23"/>
      <c r="K16" s="10"/>
      <c r="L16" s="16"/>
      <c r="M16" s="16"/>
    </row>
    <row r="17" spans="5:13" ht="22.5" customHeight="1" x14ac:dyDescent="0.25">
      <c r="E17" s="20"/>
      <c r="G17" s="21"/>
      <c r="I17" s="22"/>
      <c r="J17" s="23"/>
      <c r="L17" s="16"/>
      <c r="M17" s="16"/>
    </row>
    <row r="18" spans="5:13" ht="22.5" customHeight="1" x14ac:dyDescent="0.25">
      <c r="E18" s="18"/>
      <c r="G18" s="18"/>
      <c r="H18" s="20"/>
      <c r="I18" s="22"/>
      <c r="J18" s="20"/>
      <c r="L18" s="16"/>
      <c r="M18" s="16"/>
    </row>
    <row r="19" spans="5:13" ht="22.5" customHeight="1" x14ac:dyDescent="0.25">
      <c r="E19" s="18"/>
      <c r="G19" s="18"/>
      <c r="H19" s="20"/>
      <c r="I19" s="22"/>
      <c r="J19" s="20"/>
      <c r="M19" s="16"/>
    </row>
    <row r="20" spans="5:13" ht="22.5" customHeight="1" x14ac:dyDescent="0.25">
      <c r="E20" s="18"/>
      <c r="F20" s="20"/>
      <c r="G20" s="18"/>
      <c r="H20" s="18"/>
      <c r="I20" s="19"/>
      <c r="J20" s="18"/>
      <c r="M20" s="16"/>
    </row>
    <row r="21" spans="5:13" ht="22.5" customHeight="1" x14ac:dyDescent="0.25">
      <c r="E21" s="18"/>
      <c r="F21" s="20"/>
      <c r="G21" s="18"/>
      <c r="H21" s="18"/>
      <c r="I21" s="19"/>
      <c r="J21" s="18"/>
    </row>
    <row r="22" spans="5:13" ht="23.25" customHeight="1" x14ac:dyDescent="0.25"/>
    <row r="23" spans="5:13" ht="19.5" customHeight="1" x14ac:dyDescent="0.25"/>
    <row r="24" spans="5:13" ht="20.25" customHeight="1" x14ac:dyDescent="0.25"/>
    <row r="25" spans="5:13" ht="22.5" customHeight="1" x14ac:dyDescent="0.25"/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workbookViewId="0">
      <pane xSplit="2" ySplit="4" topLeftCell="F5" activePane="bottomRight" state="frozen"/>
      <selection pane="topRight" activeCell="C1" sqref="C1"/>
      <selection pane="bottomLeft" activeCell="A5" sqref="A5"/>
      <selection pane="bottomRight" activeCell="P8" sqref="P8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8" width="20.28515625" style="1" customWidth="1"/>
    <col min="9" max="9" width="20.28515625" style="15" customWidth="1"/>
    <col min="10" max="14" width="20.28515625" style="1" customWidth="1"/>
    <col min="15" max="15" width="10.140625" style="1" bestFit="1" customWidth="1"/>
    <col min="16" max="16" width="9.140625" style="1"/>
    <col min="17" max="17" width="10.140625" style="1" bestFit="1" customWidth="1"/>
    <col min="18" max="16384" width="9.140625" style="1"/>
  </cols>
  <sheetData>
    <row r="1" spans="1:18" x14ac:dyDescent="0.25">
      <c r="I1" s="1"/>
    </row>
    <row r="2" spans="1:18" ht="42.75" customHeight="1" x14ac:dyDescent="0.25">
      <c r="A2" s="34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8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2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29"/>
    </row>
    <row r="4" spans="1:18" ht="22.5" customHeight="1" x14ac:dyDescent="0.25">
      <c r="A4" s="38" t="s">
        <v>30</v>
      </c>
      <c r="B4" s="35" t="s">
        <v>17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0"/>
    </row>
    <row r="5" spans="1:18" ht="22.5" customHeight="1" x14ac:dyDescent="0.25">
      <c r="A5" s="39"/>
      <c r="B5" s="5" t="s">
        <v>14</v>
      </c>
      <c r="C5" s="3">
        <f>1465431+8487737</f>
        <v>9953168</v>
      </c>
      <c r="D5" s="3">
        <v>9275972</v>
      </c>
      <c r="E5" s="3">
        <v>9709816</v>
      </c>
      <c r="F5" s="3">
        <v>8576888</v>
      </c>
      <c r="G5" s="3">
        <v>9197509</v>
      </c>
      <c r="H5" s="3">
        <v>8861324</v>
      </c>
      <c r="I5" s="3">
        <v>9879026</v>
      </c>
      <c r="J5" s="3">
        <v>9129286</v>
      </c>
      <c r="K5" s="3">
        <f>478974+7505735</f>
        <v>7984709</v>
      </c>
      <c r="L5" s="3">
        <v>9592620</v>
      </c>
      <c r="M5" s="3">
        <f>997266+8124348</f>
        <v>9121614</v>
      </c>
      <c r="N5" s="3">
        <v>9834029</v>
      </c>
      <c r="O5" s="31">
        <f>'[25]РУС_Став. опт согл с ржд по МВИ'!$J$295+'[26]расчет цен по НОВОМУ '!$S$27</f>
        <v>8576888</v>
      </c>
      <c r="P5" s="10"/>
      <c r="Q5" s="10"/>
      <c r="R5" s="10"/>
    </row>
    <row r="6" spans="1:18" ht="22.5" customHeight="1" x14ac:dyDescent="0.25">
      <c r="A6" s="39"/>
      <c r="B6" s="5" t="s">
        <v>15</v>
      </c>
      <c r="C6" s="3">
        <f>615259+59407+702</f>
        <v>675368</v>
      </c>
      <c r="D6" s="3">
        <v>533249</v>
      </c>
      <c r="E6" s="3">
        <v>530782</v>
      </c>
      <c r="F6" s="3">
        <v>295058</v>
      </c>
      <c r="G6" s="3">
        <v>361674</v>
      </c>
      <c r="H6" s="3">
        <v>320795</v>
      </c>
      <c r="I6" s="3">
        <v>328776</v>
      </c>
      <c r="J6" s="3">
        <v>346869</v>
      </c>
      <c r="K6" s="3">
        <f>251121+48644+695</f>
        <v>300460</v>
      </c>
      <c r="L6" s="3">
        <v>439963</v>
      </c>
      <c r="M6" s="3">
        <f>466517+68265+936</f>
        <v>535718</v>
      </c>
      <c r="N6" s="3">
        <v>596198</v>
      </c>
      <c r="O6" s="31">
        <f>'[25]РУС_Став. опт согл с ржд по МВИ'!$J$296+'[25]РУС_Став. опт согл с ржд по МВИ'!$J$297+'[26]расчет цен по НОВОМУ '!$S$28</f>
        <v>295058</v>
      </c>
      <c r="P6" s="10"/>
      <c r="Q6" s="10"/>
      <c r="R6" s="10"/>
    </row>
    <row r="7" spans="1:18" ht="22.5" customHeight="1" x14ac:dyDescent="0.25">
      <c r="A7" s="39"/>
      <c r="B7" s="11" t="s">
        <v>25</v>
      </c>
      <c r="C7" s="3">
        <v>222037</v>
      </c>
      <c r="D7" s="3">
        <v>195194</v>
      </c>
      <c r="E7" s="3">
        <v>731992.62000000011</v>
      </c>
      <c r="F7" s="3">
        <v>244399</v>
      </c>
      <c r="G7" s="3">
        <v>235438</v>
      </c>
      <c r="H7" s="3">
        <v>228150</v>
      </c>
      <c r="I7" s="3">
        <v>127260</v>
      </c>
      <c r="J7" s="3">
        <v>258561</v>
      </c>
      <c r="K7" s="3">
        <v>206335</v>
      </c>
      <c r="L7" s="3">
        <v>305508</v>
      </c>
      <c r="M7" s="3">
        <v>283339</v>
      </c>
      <c r="N7" s="3">
        <v>548460</v>
      </c>
      <c r="O7" s="31">
        <f>'[26]расчет цен по НОВОМУ '!$S$29</f>
        <v>244399</v>
      </c>
      <c r="P7" s="10"/>
      <c r="Q7" s="10"/>
      <c r="R7" s="10"/>
    </row>
    <row r="8" spans="1:18" ht="22.5" customHeight="1" x14ac:dyDescent="0.25">
      <c r="A8" s="39"/>
      <c r="B8" s="11" t="s">
        <v>26</v>
      </c>
      <c r="C8" s="3">
        <v>1762</v>
      </c>
      <c r="D8" s="3">
        <v>1739</v>
      </c>
      <c r="E8" s="3">
        <v>37163.910999999993</v>
      </c>
      <c r="F8" s="3">
        <v>13073</v>
      </c>
      <c r="G8" s="3">
        <v>12734</v>
      </c>
      <c r="H8" s="3">
        <v>12642</v>
      </c>
      <c r="I8" s="3">
        <v>856</v>
      </c>
      <c r="J8" s="3">
        <v>11684</v>
      </c>
      <c r="K8" s="3">
        <v>13234.999999999998</v>
      </c>
      <c r="L8" s="3">
        <v>16212.000000000002</v>
      </c>
      <c r="M8" s="3">
        <v>1839</v>
      </c>
      <c r="N8" s="3">
        <v>25306</v>
      </c>
      <c r="O8" s="31">
        <f>'[26]расчет цен по НОВОМУ '!$S$30</f>
        <v>13073</v>
      </c>
      <c r="P8" s="10"/>
      <c r="Q8" s="10"/>
      <c r="R8" s="10"/>
    </row>
    <row r="9" spans="1:18" ht="22.5" customHeight="1" x14ac:dyDescent="0.25">
      <c r="A9" s="39"/>
      <c r="B9" s="35" t="s">
        <v>18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</row>
    <row r="10" spans="1:18" ht="22.5" customHeight="1" x14ac:dyDescent="0.25">
      <c r="A10" s="39"/>
      <c r="B10" s="4"/>
      <c r="C10" s="3"/>
      <c r="D10" s="3"/>
      <c r="E10" s="3"/>
      <c r="F10" s="3"/>
      <c r="G10" s="3"/>
      <c r="H10" s="3"/>
      <c r="I10" s="13"/>
      <c r="J10" s="3"/>
      <c r="K10" s="3"/>
      <c r="L10" s="3"/>
      <c r="M10" s="3"/>
      <c r="N10" s="3"/>
    </row>
    <row r="11" spans="1:18" ht="22.5" customHeight="1" x14ac:dyDescent="0.25">
      <c r="A11" s="32" t="s">
        <v>16</v>
      </c>
      <c r="B11" s="33"/>
      <c r="C11" s="9">
        <f t="shared" ref="C11:N11" si="0">SUM(C5:C8,C10)</f>
        <v>10852335</v>
      </c>
      <c r="D11" s="9">
        <f t="shared" si="0"/>
        <v>10006154</v>
      </c>
      <c r="E11" s="9">
        <f t="shared" si="0"/>
        <v>11009754.531000001</v>
      </c>
      <c r="F11" s="17">
        <f t="shared" si="0"/>
        <v>9129418</v>
      </c>
      <c r="G11" s="17">
        <f>SUM(G5:G8,G10)</f>
        <v>9807355</v>
      </c>
      <c r="H11" s="17">
        <f t="shared" si="0"/>
        <v>9422911</v>
      </c>
      <c r="I11" s="17">
        <f t="shared" si="0"/>
        <v>10335918</v>
      </c>
      <c r="J11" s="17">
        <f t="shared" si="0"/>
        <v>9746400</v>
      </c>
      <c r="K11" s="9">
        <f t="shared" si="0"/>
        <v>8504739</v>
      </c>
      <c r="L11" s="9">
        <f t="shared" si="0"/>
        <v>10354303</v>
      </c>
      <c r="M11" s="9">
        <f t="shared" si="0"/>
        <v>9942510</v>
      </c>
      <c r="N11" s="9">
        <f t="shared" si="0"/>
        <v>11003993</v>
      </c>
    </row>
    <row r="12" spans="1:18" ht="22.5" customHeight="1" x14ac:dyDescent="0.25">
      <c r="C12" s="10"/>
      <c r="D12" s="10"/>
      <c r="E12" s="10"/>
      <c r="F12" s="10"/>
      <c r="G12" s="10"/>
      <c r="H12" s="10"/>
      <c r="I12" s="14"/>
      <c r="J12" s="10"/>
      <c r="K12" s="10"/>
      <c r="L12" s="10"/>
      <c r="M12" s="10"/>
      <c r="N12" s="10"/>
    </row>
    <row r="13" spans="1:18" ht="24" customHeight="1" x14ac:dyDescent="0.25">
      <c r="C13" s="10"/>
      <c r="D13" s="10"/>
      <c r="F13" s="10"/>
      <c r="G13" s="21"/>
      <c r="I13" s="14"/>
      <c r="J13" s="10"/>
      <c r="M13" s="10"/>
      <c r="N13" s="10"/>
    </row>
    <row r="14" spans="1:18" ht="22.5" customHeight="1" x14ac:dyDescent="0.25">
      <c r="C14" s="10"/>
      <c r="D14" s="10"/>
      <c r="E14" s="10"/>
      <c r="F14" s="10"/>
      <c r="G14" s="10"/>
      <c r="H14" s="10"/>
      <c r="I14" s="14"/>
      <c r="J14" s="10"/>
      <c r="K14" s="10"/>
      <c r="L14" s="10"/>
    </row>
    <row r="15" spans="1:18" ht="22.5" customHeight="1" x14ac:dyDescent="0.25">
      <c r="C15" s="10"/>
      <c r="D15" s="10"/>
      <c r="E15" s="10"/>
      <c r="F15" s="10"/>
      <c r="G15" s="10"/>
      <c r="H15" s="10"/>
      <c r="J15" s="10"/>
      <c r="K15" s="16"/>
      <c r="L15" s="16"/>
    </row>
    <row r="16" spans="1:18" ht="22.5" customHeight="1" x14ac:dyDescent="0.25">
      <c r="J16" s="23"/>
      <c r="K16" s="10"/>
      <c r="L16" s="16"/>
      <c r="M16" s="16"/>
    </row>
    <row r="17" spans="5:13" ht="22.5" customHeight="1" x14ac:dyDescent="0.25">
      <c r="E17" s="20"/>
      <c r="G17" s="21"/>
      <c r="I17" s="22"/>
      <c r="J17" s="23"/>
      <c r="L17" s="16"/>
      <c r="M17" s="16"/>
    </row>
    <row r="18" spans="5:13" ht="22.5" customHeight="1" x14ac:dyDescent="0.25">
      <c r="E18" s="18"/>
      <c r="G18" s="18"/>
      <c r="H18" s="20"/>
      <c r="I18" s="22"/>
      <c r="J18" s="20"/>
      <c r="L18" s="16"/>
      <c r="M18" s="16"/>
    </row>
    <row r="19" spans="5:13" ht="22.5" customHeight="1" x14ac:dyDescent="0.25">
      <c r="E19" s="18"/>
      <c r="G19" s="18"/>
      <c r="H19" s="20"/>
      <c r="I19" s="22"/>
      <c r="J19" s="20"/>
      <c r="M19" s="16"/>
    </row>
    <row r="20" spans="5:13" ht="22.5" customHeight="1" x14ac:dyDescent="0.25">
      <c r="E20" s="18"/>
      <c r="F20" s="20"/>
      <c r="G20" s="18"/>
      <c r="H20" s="18"/>
      <c r="I20" s="19"/>
      <c r="J20" s="18"/>
      <c r="M20" s="16"/>
    </row>
    <row r="21" spans="5:13" ht="22.5" customHeight="1" x14ac:dyDescent="0.25">
      <c r="E21" s="18"/>
      <c r="F21" s="20"/>
      <c r="G21" s="18"/>
      <c r="H21" s="18"/>
      <c r="I21" s="19"/>
      <c r="J21" s="18"/>
    </row>
    <row r="22" spans="5:13" ht="23.25" customHeight="1" x14ac:dyDescent="0.25"/>
    <row r="23" spans="5:13" ht="19.5" customHeight="1" x14ac:dyDescent="0.25"/>
    <row r="24" spans="5:13" ht="20.25" customHeight="1" x14ac:dyDescent="0.25"/>
    <row r="25" spans="5:13" ht="22.5" customHeight="1" x14ac:dyDescent="0.25"/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4" t="s">
        <v>20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8" t="s">
        <v>19</v>
      </c>
      <c r="B4" s="35" t="s">
        <v>17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4" ht="22.5" customHeight="1" x14ac:dyDescent="0.25">
      <c r="A5" s="39"/>
      <c r="B5" s="5" t="s">
        <v>14</v>
      </c>
      <c r="C5" s="3">
        <v>9778921</v>
      </c>
      <c r="D5" s="3">
        <v>8290730</v>
      </c>
      <c r="E5" s="3">
        <v>8593620</v>
      </c>
      <c r="F5" s="3">
        <v>7203958</v>
      </c>
      <c r="G5" s="3">
        <v>7670415</v>
      </c>
      <c r="H5" s="3">
        <v>7394741</v>
      </c>
      <c r="I5" s="3">
        <v>7650230</v>
      </c>
      <c r="J5" s="3">
        <v>8032202</v>
      </c>
      <c r="K5" s="3">
        <v>7652040</v>
      </c>
      <c r="L5" s="3">
        <v>7588690</v>
      </c>
      <c r="M5" s="3">
        <v>7062619</v>
      </c>
      <c r="N5" s="3">
        <v>7984905</v>
      </c>
    </row>
    <row r="6" spans="1:14" ht="22.5" customHeight="1" x14ac:dyDescent="0.25">
      <c r="A6" s="39"/>
      <c r="B6" s="5" t="s">
        <v>15</v>
      </c>
      <c r="C6" s="3">
        <v>87401</v>
      </c>
      <c r="D6" s="3">
        <v>77969</v>
      </c>
      <c r="E6" s="3">
        <v>79291</v>
      </c>
      <c r="F6" s="3">
        <v>60700</v>
      </c>
      <c r="G6" s="3">
        <v>46269</v>
      </c>
      <c r="H6" s="3">
        <v>45265</v>
      </c>
      <c r="I6" s="3">
        <v>47135</v>
      </c>
      <c r="J6" s="3">
        <v>47808</v>
      </c>
      <c r="K6" s="3">
        <v>45527</v>
      </c>
      <c r="L6" s="3">
        <v>64636.400000000373</v>
      </c>
      <c r="M6" s="3">
        <v>69185</v>
      </c>
      <c r="N6" s="3">
        <v>85892</v>
      </c>
    </row>
    <row r="7" spans="1:14" ht="22.5" customHeight="1" x14ac:dyDescent="0.25">
      <c r="A7" s="39"/>
      <c r="B7" s="35" t="s">
        <v>18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</row>
    <row r="8" spans="1:14" ht="22.5" customHeight="1" x14ac:dyDescent="0.25">
      <c r="A8" s="39"/>
      <c r="B8" s="4"/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22.5" customHeight="1" x14ac:dyDescent="0.25">
      <c r="A9" s="32" t="s">
        <v>16</v>
      </c>
      <c r="B9" s="33"/>
      <c r="C9" s="9">
        <f t="shared" ref="C9:N9" si="0">SUM(C5:C6,C8)</f>
        <v>9866322</v>
      </c>
      <c r="D9" s="9">
        <f t="shared" si="0"/>
        <v>8368699</v>
      </c>
      <c r="E9" s="9">
        <f t="shared" si="0"/>
        <v>8672911</v>
      </c>
      <c r="F9" s="9">
        <f t="shared" si="0"/>
        <v>7264658</v>
      </c>
      <c r="G9" s="9">
        <f t="shared" si="0"/>
        <v>7716684</v>
      </c>
      <c r="H9" s="9">
        <f t="shared" si="0"/>
        <v>7440006</v>
      </c>
      <c r="I9" s="9">
        <f t="shared" si="0"/>
        <v>7697365</v>
      </c>
      <c r="J9" s="9">
        <f t="shared" si="0"/>
        <v>8080010</v>
      </c>
      <c r="K9" s="9">
        <f t="shared" si="0"/>
        <v>7697567</v>
      </c>
      <c r="L9" s="9">
        <f t="shared" si="0"/>
        <v>7653326.4000000004</v>
      </c>
      <c r="M9" s="9">
        <f t="shared" si="0"/>
        <v>7131804</v>
      </c>
      <c r="N9" s="9">
        <f t="shared" si="0"/>
        <v>8070797</v>
      </c>
    </row>
    <row r="10" spans="1:14" ht="22.5" customHeight="1" x14ac:dyDescent="0.25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</sheetData>
  <mergeCells count="5">
    <mergeCell ref="A9:B9"/>
    <mergeCell ref="A2:N2"/>
    <mergeCell ref="B4:N4"/>
    <mergeCell ref="A4:A8"/>
    <mergeCell ref="B7:N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workbookViewId="0">
      <selection activeCell="N5" sqref="N5:N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4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8" t="s">
        <v>23</v>
      </c>
      <c r="B4" s="35" t="s">
        <v>17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4" ht="22.5" customHeight="1" x14ac:dyDescent="0.25">
      <c r="A5" s="39"/>
      <c r="B5" s="5" t="s">
        <v>14</v>
      </c>
      <c r="C5" s="3">
        <v>7978392</v>
      </c>
      <c r="D5" s="3">
        <v>7334159</v>
      </c>
      <c r="E5" s="3">
        <v>7666142</v>
      </c>
      <c r="F5" s="3">
        <v>6827814</v>
      </c>
      <c r="G5" s="3">
        <v>6906117</v>
      </c>
      <c r="H5" s="3">
        <v>7089562</v>
      </c>
      <c r="I5" s="3">
        <v>11660426</v>
      </c>
      <c r="J5" s="3">
        <v>10213686</v>
      </c>
      <c r="K5" s="3">
        <v>7162594</v>
      </c>
      <c r="L5" s="3">
        <v>7659329</v>
      </c>
      <c r="M5" s="3">
        <v>7677779</v>
      </c>
      <c r="N5" s="3">
        <v>9664730</v>
      </c>
    </row>
    <row r="6" spans="1:14" ht="22.5" customHeight="1" x14ac:dyDescent="0.25">
      <c r="A6" s="39"/>
      <c r="B6" s="5" t="s">
        <v>15</v>
      </c>
      <c r="C6" s="3">
        <v>93257</v>
      </c>
      <c r="D6" s="3">
        <v>82130</v>
      </c>
      <c r="E6" s="3">
        <v>73727</v>
      </c>
      <c r="F6" s="3">
        <v>52224</v>
      </c>
      <c r="G6" s="3">
        <v>44614</v>
      </c>
      <c r="H6" s="3">
        <v>45531</v>
      </c>
      <c r="I6" s="3">
        <v>46829</v>
      </c>
      <c r="J6" s="3">
        <v>45179</v>
      </c>
      <c r="K6" s="3">
        <v>44332</v>
      </c>
      <c r="L6" s="3">
        <v>60189</v>
      </c>
      <c r="M6" s="3">
        <v>71317</v>
      </c>
      <c r="N6" s="3">
        <v>88000</v>
      </c>
    </row>
    <row r="7" spans="1:14" ht="22.5" customHeight="1" x14ac:dyDescent="0.25">
      <c r="A7" s="39"/>
      <c r="B7" s="35" t="s">
        <v>18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</row>
    <row r="8" spans="1:14" ht="22.5" customHeight="1" x14ac:dyDescent="0.25">
      <c r="A8" s="39"/>
      <c r="B8" s="4"/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22.5" customHeight="1" x14ac:dyDescent="0.25">
      <c r="A9" s="32" t="s">
        <v>16</v>
      </c>
      <c r="B9" s="33"/>
      <c r="C9" s="9">
        <f t="shared" ref="C9:N9" si="0">SUM(C5:C6,C8)</f>
        <v>8071649</v>
      </c>
      <c r="D9" s="9">
        <f t="shared" si="0"/>
        <v>7416289</v>
      </c>
      <c r="E9" s="9">
        <f t="shared" si="0"/>
        <v>7739869</v>
      </c>
      <c r="F9" s="9">
        <f t="shared" si="0"/>
        <v>6880038</v>
      </c>
      <c r="G9" s="9">
        <f t="shared" si="0"/>
        <v>6950731</v>
      </c>
      <c r="H9" s="9">
        <f t="shared" si="0"/>
        <v>7135093</v>
      </c>
      <c r="I9" s="9">
        <f t="shared" si="0"/>
        <v>11707255</v>
      </c>
      <c r="J9" s="9">
        <f t="shared" si="0"/>
        <v>10258865</v>
      </c>
      <c r="K9" s="9">
        <f t="shared" si="0"/>
        <v>7206926</v>
      </c>
      <c r="L9" s="9">
        <f t="shared" si="0"/>
        <v>7719518</v>
      </c>
      <c r="M9" s="9">
        <f t="shared" si="0"/>
        <v>7749096</v>
      </c>
      <c r="N9" s="9">
        <f t="shared" si="0"/>
        <v>9752730</v>
      </c>
    </row>
    <row r="10" spans="1:14" ht="22.5" customHeight="1" x14ac:dyDescent="0.25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</sheetData>
  <mergeCells count="5">
    <mergeCell ref="A2:N2"/>
    <mergeCell ref="A4:A8"/>
    <mergeCell ref="B4:N4"/>
    <mergeCell ref="B7:N7"/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zoomScale="75" zoomScaleNormal="75" workbookViewId="0">
      <selection activeCell="I20" sqref="I2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8" t="s">
        <v>23</v>
      </c>
      <c r="B4" s="35" t="s">
        <v>17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4" ht="22.5" customHeight="1" x14ac:dyDescent="0.25">
      <c r="A5" s="39"/>
      <c r="B5" s="5" t="s">
        <v>14</v>
      </c>
      <c r="C5" s="3">
        <f>9017132+1687705</f>
        <v>10704837</v>
      </c>
      <c r="D5" s="3">
        <f>7915817+1453193</f>
        <v>9369010</v>
      </c>
      <c r="E5" s="3">
        <v>9159587</v>
      </c>
      <c r="F5" s="3">
        <f>7066087+809080</f>
        <v>7875167</v>
      </c>
      <c r="G5" s="3">
        <v>8461871</v>
      </c>
      <c r="H5" s="3">
        <f>7153148+521250</f>
        <v>7674398</v>
      </c>
      <c r="I5" s="3">
        <f>8795204+724653</f>
        <v>9519857</v>
      </c>
      <c r="J5" s="3">
        <v>9559013</v>
      </c>
      <c r="K5" s="3">
        <f>7818884+536872</f>
        <v>8355756</v>
      </c>
      <c r="L5" s="3">
        <v>7763112</v>
      </c>
      <c r="M5" s="3">
        <f>6771576+1255947</f>
        <v>8027523</v>
      </c>
      <c r="N5" s="3">
        <v>9243717</v>
      </c>
    </row>
    <row r="6" spans="1:14" ht="22.5" customHeight="1" x14ac:dyDescent="0.25">
      <c r="A6" s="39"/>
      <c r="B6" s="5" t="s">
        <v>15</v>
      </c>
      <c r="C6" s="3">
        <f>81913+415921</f>
        <v>497834</v>
      </c>
      <c r="D6" s="3">
        <f>76555+367982</f>
        <v>444537</v>
      </c>
      <c r="E6" s="3">
        <v>483944</v>
      </c>
      <c r="F6" s="3">
        <f>40870+342577</f>
        <v>383447</v>
      </c>
      <c r="G6" s="3">
        <v>317659</v>
      </c>
      <c r="H6" s="3">
        <f>45192+236662</f>
        <v>281854</v>
      </c>
      <c r="I6" s="3">
        <f>43891+303255</f>
        <v>347146</v>
      </c>
      <c r="J6" s="3">
        <v>332424</v>
      </c>
      <c r="K6" s="3">
        <f>46400+262293</f>
        <v>308693</v>
      </c>
      <c r="L6" s="3">
        <v>408429</v>
      </c>
      <c r="M6" s="3">
        <f>66100+263541</f>
        <v>329641</v>
      </c>
      <c r="N6" s="3">
        <v>514680</v>
      </c>
    </row>
    <row r="7" spans="1:14" ht="22.5" customHeight="1" x14ac:dyDescent="0.25">
      <c r="A7" s="39"/>
      <c r="B7" s="11" t="s">
        <v>25</v>
      </c>
      <c r="C7" s="3">
        <v>313547</v>
      </c>
      <c r="D7" s="3">
        <v>277444</v>
      </c>
      <c r="E7" s="3">
        <v>258257</v>
      </c>
      <c r="F7" s="3">
        <v>189674</v>
      </c>
      <c r="G7" s="3">
        <v>132525</v>
      </c>
      <c r="H7" s="3">
        <v>83820</v>
      </c>
      <c r="I7" s="3">
        <v>119093</v>
      </c>
      <c r="J7" s="3">
        <v>124964</v>
      </c>
      <c r="K7" s="3">
        <v>108078</v>
      </c>
      <c r="L7" s="3">
        <v>214848</v>
      </c>
      <c r="M7" s="3">
        <v>263541</v>
      </c>
      <c r="N7" s="3">
        <v>300868</v>
      </c>
    </row>
    <row r="8" spans="1:14" ht="22.5" customHeight="1" x14ac:dyDescent="0.25">
      <c r="A8" s="39"/>
      <c r="B8" s="11" t="s">
        <v>26</v>
      </c>
      <c r="C8" s="3">
        <v>30293</v>
      </c>
      <c r="D8" s="3">
        <v>29565</v>
      </c>
      <c r="E8" s="3">
        <v>22894</v>
      </c>
      <c r="F8" s="3">
        <v>16773</v>
      </c>
      <c r="G8" s="3">
        <v>12401</v>
      </c>
      <c r="H8" s="3">
        <v>10448</v>
      </c>
      <c r="I8" s="3">
        <v>9784</v>
      </c>
      <c r="J8" s="3">
        <v>9305</v>
      </c>
      <c r="K8" s="3">
        <v>9071</v>
      </c>
      <c r="L8" s="3">
        <v>19376</v>
      </c>
      <c r="M8" s="3">
        <v>7236</v>
      </c>
      <c r="N8" s="3">
        <v>6828</v>
      </c>
    </row>
    <row r="9" spans="1:14" ht="22.5" customHeight="1" x14ac:dyDescent="0.25">
      <c r="A9" s="39"/>
      <c r="B9" s="35" t="s">
        <v>18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</row>
    <row r="10" spans="1:14" ht="22.5" customHeight="1" x14ac:dyDescent="0.25">
      <c r="A10" s="39"/>
      <c r="B10" s="4"/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</row>
    <row r="11" spans="1:14" ht="22.5" customHeight="1" x14ac:dyDescent="0.25">
      <c r="A11" s="32" t="s">
        <v>16</v>
      </c>
      <c r="B11" s="33"/>
      <c r="C11" s="9">
        <f t="shared" ref="C11:I11" si="0">SUM(C5:C8,C10)</f>
        <v>11546511</v>
      </c>
      <c r="D11" s="9">
        <f t="shared" si="0"/>
        <v>10120556</v>
      </c>
      <c r="E11" s="9">
        <f t="shared" si="0"/>
        <v>9924682</v>
      </c>
      <c r="F11" s="9">
        <f t="shared" si="0"/>
        <v>8465061</v>
      </c>
      <c r="G11" s="9">
        <f t="shared" si="0"/>
        <v>8924456</v>
      </c>
      <c r="H11" s="9">
        <f t="shared" si="0"/>
        <v>8050520</v>
      </c>
      <c r="I11" s="9">
        <f t="shared" si="0"/>
        <v>9995880</v>
      </c>
      <c r="J11" s="9">
        <f>SUM(J5:J8,J10)</f>
        <v>10025706</v>
      </c>
      <c r="K11" s="9">
        <f>SUM(K5:K8,K10)</f>
        <v>8781598</v>
      </c>
      <c r="L11" s="9">
        <f>SUM(L5:L8,L10)</f>
        <v>8405765</v>
      </c>
      <c r="M11" s="9">
        <f>SUM(M5:M8,M10)</f>
        <v>8627941</v>
      </c>
      <c r="N11" s="9">
        <f>SUM(N5:N8,N10)</f>
        <v>10066093</v>
      </c>
    </row>
    <row r="12" spans="1:14" ht="22.5" customHeight="1" x14ac:dyDescent="0.25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4" spans="1:14" ht="22.5" customHeight="1" x14ac:dyDescent="0.25">
      <c r="J14" s="10"/>
    </row>
    <row r="15" spans="1:14" ht="22.5" customHeight="1" x14ac:dyDescent="0.25">
      <c r="J15" s="10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zoomScale="75" zoomScaleNormal="75" workbookViewId="0">
      <selection activeCell="N5" sqref="N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5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4" t="s">
        <v>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2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38" t="s">
        <v>23</v>
      </c>
      <c r="B4" s="35" t="s">
        <v>17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4" ht="22.5" customHeight="1" x14ac:dyDescent="0.25">
      <c r="A5" s="39"/>
      <c r="B5" s="5" t="s">
        <v>14</v>
      </c>
      <c r="C5" s="3">
        <v>9893454</v>
      </c>
      <c r="D5" s="3">
        <v>7716219</v>
      </c>
      <c r="E5" s="3">
        <v>8207485</v>
      </c>
      <c r="F5" s="3">
        <f>6319438+820721</f>
        <v>7140159</v>
      </c>
      <c r="G5" s="3">
        <v>7140159</v>
      </c>
      <c r="H5" s="3">
        <v>7538517</v>
      </c>
      <c r="I5" s="13">
        <f>9707699+550929</f>
        <v>10258628</v>
      </c>
      <c r="J5" s="3">
        <v>9537207</v>
      </c>
      <c r="K5" s="3">
        <v>8222926</v>
      </c>
      <c r="L5" s="3">
        <f>7961473+806272</f>
        <v>8767745</v>
      </c>
      <c r="M5" s="3">
        <v>8657604</v>
      </c>
      <c r="N5" s="3">
        <v>9464128</v>
      </c>
    </row>
    <row r="6" spans="1:14" ht="22.5" customHeight="1" x14ac:dyDescent="0.25">
      <c r="A6" s="39"/>
      <c r="B6" s="5" t="s">
        <v>15</v>
      </c>
      <c r="C6" s="3">
        <v>522576</v>
      </c>
      <c r="D6" s="3">
        <v>443844.99999999994</v>
      </c>
      <c r="E6" s="3">
        <v>417649</v>
      </c>
      <c r="F6" s="3">
        <f>48771+292026</f>
        <v>340797</v>
      </c>
      <c r="G6" s="3">
        <v>340797</v>
      </c>
      <c r="H6" s="3">
        <v>287061</v>
      </c>
      <c r="I6" s="13">
        <f>45410+317905</f>
        <v>363315</v>
      </c>
      <c r="J6" s="3">
        <v>305571</v>
      </c>
      <c r="K6" s="3">
        <v>280153</v>
      </c>
      <c r="L6" s="3">
        <f>48159+313046</f>
        <v>361205</v>
      </c>
      <c r="M6" s="3">
        <v>460504</v>
      </c>
      <c r="N6" s="3">
        <v>539855</v>
      </c>
    </row>
    <row r="7" spans="1:14" ht="22.5" customHeight="1" x14ac:dyDescent="0.25">
      <c r="A7" s="39"/>
      <c r="B7" s="11" t="s">
        <v>25</v>
      </c>
      <c r="C7" s="3">
        <v>339701</v>
      </c>
      <c r="D7" s="3">
        <v>282931</v>
      </c>
      <c r="E7" s="3">
        <v>291761</v>
      </c>
      <c r="F7" s="3">
        <f>112467+80046</f>
        <v>192513</v>
      </c>
      <c r="G7" s="3">
        <v>192513</v>
      </c>
      <c r="H7" s="3">
        <v>130748</v>
      </c>
      <c r="I7" s="13">
        <v>150931</v>
      </c>
      <c r="J7" s="3">
        <v>126775</v>
      </c>
      <c r="K7" s="3">
        <v>103959</v>
      </c>
      <c r="L7" s="3">
        <v>176003.38000000012</v>
      </c>
      <c r="M7" s="3">
        <v>261108</v>
      </c>
      <c r="N7" s="3">
        <v>320314</v>
      </c>
    </row>
    <row r="8" spans="1:14" ht="22.5" customHeight="1" x14ac:dyDescent="0.25">
      <c r="A8" s="39"/>
      <c r="B8" s="11" t="s">
        <v>26</v>
      </c>
      <c r="C8" s="3">
        <v>8744</v>
      </c>
      <c r="D8" s="3">
        <v>8639</v>
      </c>
      <c r="E8" s="3">
        <v>6322</v>
      </c>
      <c r="F8" s="3">
        <v>5864</v>
      </c>
      <c r="G8" s="3">
        <v>5864</v>
      </c>
      <c r="H8" s="3">
        <v>3543</v>
      </c>
      <c r="I8" s="13">
        <v>2155</v>
      </c>
      <c r="J8" s="3">
        <v>2085</v>
      </c>
      <c r="K8" s="3">
        <v>1463</v>
      </c>
      <c r="L8" s="3">
        <v>2238</v>
      </c>
      <c r="M8" s="3">
        <v>3087</v>
      </c>
      <c r="N8" s="3">
        <v>4128</v>
      </c>
    </row>
    <row r="9" spans="1:14" ht="22.5" customHeight="1" x14ac:dyDescent="0.25">
      <c r="A9" s="39"/>
      <c r="B9" s="35" t="s">
        <v>18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</row>
    <row r="10" spans="1:14" ht="22.5" customHeight="1" x14ac:dyDescent="0.25">
      <c r="A10" s="39"/>
      <c r="B10" s="4"/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1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</row>
    <row r="11" spans="1:14" ht="22.5" customHeight="1" x14ac:dyDescent="0.25">
      <c r="A11" s="32" t="s">
        <v>16</v>
      </c>
      <c r="B11" s="33"/>
      <c r="C11" s="9">
        <f t="shared" ref="C11:I11" si="0">SUM(C5:C8,C10)</f>
        <v>10764475</v>
      </c>
      <c r="D11" s="9">
        <f t="shared" si="0"/>
        <v>8451634</v>
      </c>
      <c r="E11" s="9">
        <f t="shared" si="0"/>
        <v>8923217</v>
      </c>
      <c r="F11" s="17">
        <f t="shared" si="0"/>
        <v>7679333</v>
      </c>
      <c r="G11" s="17">
        <f t="shared" si="0"/>
        <v>7679333</v>
      </c>
      <c r="H11" s="17">
        <f t="shared" si="0"/>
        <v>7959869</v>
      </c>
      <c r="I11" s="17">
        <f t="shared" si="0"/>
        <v>10775029</v>
      </c>
      <c r="J11" s="17">
        <f>SUM(J5:J8,J10)</f>
        <v>9971638</v>
      </c>
      <c r="K11" s="9">
        <f>SUM(K5:K8,K10)</f>
        <v>8608501</v>
      </c>
      <c r="L11" s="9">
        <f>SUM(L5:L8,L10)</f>
        <v>9307191.3800000008</v>
      </c>
      <c r="M11" s="9">
        <f>SUM(M5:M8,M10)</f>
        <v>9382303</v>
      </c>
      <c r="N11" s="9">
        <f>SUM(N5:N8,N10)</f>
        <v>10328425</v>
      </c>
    </row>
    <row r="12" spans="1:14" ht="22.5" customHeight="1" x14ac:dyDescent="0.25">
      <c r="C12" s="10"/>
      <c r="D12" s="10"/>
      <c r="E12" s="10"/>
      <c r="F12" s="10"/>
      <c r="G12" s="10"/>
      <c r="H12" s="10"/>
      <c r="I12" s="14"/>
      <c r="J12" s="10"/>
      <c r="K12" s="10"/>
      <c r="L12" s="10"/>
      <c r="M12" s="10"/>
      <c r="N12" s="10"/>
    </row>
    <row r="14" spans="1:14" ht="22.5" customHeight="1" x14ac:dyDescent="0.25">
      <c r="J14" s="10"/>
    </row>
    <row r="15" spans="1:14" ht="22.5" customHeight="1" x14ac:dyDescent="0.25">
      <c r="J15" s="10"/>
      <c r="K15" s="16"/>
      <c r="L15" s="16"/>
    </row>
    <row r="16" spans="1:14" ht="22.5" customHeight="1" x14ac:dyDescent="0.25">
      <c r="K16" s="10"/>
      <c r="L16" s="16"/>
    </row>
    <row r="17" spans="5:13" ht="22.5" customHeight="1" x14ac:dyDescent="0.25">
      <c r="E17" s="18"/>
      <c r="F17" s="18">
        <v>7140159</v>
      </c>
      <c r="G17" s="18"/>
      <c r="H17" s="18"/>
      <c r="I17" s="19">
        <v>10258628</v>
      </c>
      <c r="J17" s="18">
        <v>9537207</v>
      </c>
      <c r="L17" s="16"/>
    </row>
    <row r="18" spans="5:13" ht="22.5" customHeight="1" x14ac:dyDescent="0.25">
      <c r="E18" s="18"/>
      <c r="F18" s="18">
        <v>340797</v>
      </c>
      <c r="G18" s="18"/>
      <c r="H18" s="18"/>
      <c r="I18" s="19">
        <v>363315</v>
      </c>
      <c r="J18" s="18">
        <v>305571</v>
      </c>
      <c r="L18" s="16"/>
      <c r="M18" s="16"/>
    </row>
    <row r="19" spans="5:13" ht="22.5" customHeight="1" x14ac:dyDescent="0.25">
      <c r="E19" s="18"/>
      <c r="F19" s="18">
        <v>192513</v>
      </c>
      <c r="G19" s="18"/>
      <c r="H19" s="18"/>
      <c r="I19" s="19">
        <v>150931</v>
      </c>
      <c r="J19" s="18">
        <v>126775</v>
      </c>
    </row>
    <row r="20" spans="5:13" ht="22.5" customHeight="1" x14ac:dyDescent="0.25">
      <c r="E20" s="18"/>
      <c r="F20" s="18">
        <v>5864</v>
      </c>
      <c r="G20" s="18"/>
      <c r="H20" s="18"/>
      <c r="I20" s="19">
        <v>2155</v>
      </c>
      <c r="J20" s="18">
        <v>2085</v>
      </c>
    </row>
    <row r="21" spans="5:13" ht="22.5" customHeight="1" x14ac:dyDescent="0.25">
      <c r="E21" s="18"/>
      <c r="F21" s="18"/>
      <c r="G21" s="18"/>
      <c r="H21" s="18"/>
      <c r="I21" s="19"/>
      <c r="J21" s="18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zoomScale="70" zoomScaleNormal="70" workbookViewId="0">
      <selection activeCell="N5" sqref="N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8" width="20.28515625" style="1" customWidth="1"/>
    <col min="9" max="9" width="20.28515625" style="15" customWidth="1"/>
    <col min="10" max="14" width="20.28515625" style="1" customWidth="1"/>
    <col min="15" max="15" width="9.140625" style="21"/>
    <col min="16" max="16" width="9.140625" style="1"/>
    <col min="17" max="17" width="9.140625" style="21"/>
    <col min="18" max="16384" width="9.140625" style="1"/>
  </cols>
  <sheetData>
    <row r="2" spans="1:17" ht="42.75" customHeight="1" x14ac:dyDescent="0.25">
      <c r="A2" s="34" t="s">
        <v>28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2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25"/>
      <c r="Q3" s="25"/>
    </row>
    <row r="4" spans="1:17" ht="22.5" customHeight="1" x14ac:dyDescent="0.25">
      <c r="A4" s="38" t="s">
        <v>23</v>
      </c>
      <c r="B4" s="35" t="s">
        <v>17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7" ht="22.5" customHeight="1" x14ac:dyDescent="0.25">
      <c r="A5" s="39"/>
      <c r="B5" s="5" t="s">
        <v>14</v>
      </c>
      <c r="C5" s="3">
        <v>11329575</v>
      </c>
      <c r="D5" s="3">
        <v>8884420</v>
      </c>
      <c r="E5" s="3">
        <v>8516467</v>
      </c>
      <c r="F5" s="3">
        <v>7467442</v>
      </c>
      <c r="G5" s="3">
        <v>6841217</v>
      </c>
      <c r="H5" s="3">
        <v>7280730</v>
      </c>
      <c r="I5" s="13">
        <f>8166658-20504</f>
        <v>8146154</v>
      </c>
      <c r="J5" s="3">
        <v>7942839</v>
      </c>
      <c r="K5" s="3">
        <v>7474217.5199999996</v>
      </c>
      <c r="L5" s="3">
        <v>7640063</v>
      </c>
      <c r="M5" s="3">
        <v>9103000.7200000007</v>
      </c>
      <c r="N5" s="3">
        <v>11093543.719999999</v>
      </c>
      <c r="O5" s="18">
        <f>N5/M5</f>
        <v>1.2186688830669452</v>
      </c>
      <c r="Q5" s="24">
        <f>AVERAGE(C5:N5)</f>
        <v>8476639.0800000001</v>
      </c>
    </row>
    <row r="6" spans="1:17" ht="22.5" customHeight="1" x14ac:dyDescent="0.25">
      <c r="A6" s="39"/>
      <c r="B6" s="5" t="s">
        <v>15</v>
      </c>
      <c r="C6" s="3">
        <v>607635</v>
      </c>
      <c r="D6" s="3">
        <v>451071</v>
      </c>
      <c r="E6" s="3">
        <v>475753</v>
      </c>
      <c r="F6" s="3">
        <v>374478</v>
      </c>
      <c r="G6" s="3">
        <v>296121</v>
      </c>
      <c r="H6" s="3">
        <v>327144</v>
      </c>
      <c r="I6" s="13">
        <v>321961</v>
      </c>
      <c r="J6" s="3">
        <v>352750</v>
      </c>
      <c r="K6" s="3">
        <v>309418</v>
      </c>
      <c r="L6" s="3">
        <v>408087</v>
      </c>
      <c r="M6" s="3">
        <v>508639</v>
      </c>
      <c r="N6" s="3">
        <v>576363</v>
      </c>
      <c r="O6" s="18">
        <f t="shared" ref="O6:O8" si="0">N6/M6</f>
        <v>1.133147477877237</v>
      </c>
      <c r="Q6" s="24">
        <f t="shared" ref="Q6:Q8" si="1">AVERAGE(C6:N6)</f>
        <v>417451.66666666669</v>
      </c>
    </row>
    <row r="7" spans="1:17" ht="22.5" customHeight="1" x14ac:dyDescent="0.25">
      <c r="A7" s="39"/>
      <c r="B7" s="11" t="s">
        <v>25</v>
      </c>
      <c r="C7" s="3">
        <v>349556</v>
      </c>
      <c r="D7" s="3">
        <v>275594</v>
      </c>
      <c r="E7" s="3">
        <v>288400</v>
      </c>
      <c r="F7" s="3">
        <v>203532</v>
      </c>
      <c r="G7" s="3">
        <v>141345</v>
      </c>
      <c r="H7" s="3">
        <v>129754</v>
      </c>
      <c r="I7" s="13">
        <v>147852.65999999974</v>
      </c>
      <c r="J7" s="3">
        <v>148987</v>
      </c>
      <c r="K7" s="3">
        <v>120539</v>
      </c>
      <c r="L7" s="3">
        <v>196755</v>
      </c>
      <c r="M7" s="3">
        <v>262197</v>
      </c>
      <c r="N7" s="3">
        <v>288307</v>
      </c>
      <c r="O7" s="18">
        <f t="shared" si="0"/>
        <v>1.0995816122991491</v>
      </c>
      <c r="Q7" s="24">
        <f t="shared" si="1"/>
        <v>212734.88833333331</v>
      </c>
    </row>
    <row r="8" spans="1:17" ht="22.5" customHeight="1" x14ac:dyDescent="0.25">
      <c r="A8" s="39"/>
      <c r="B8" s="11" t="s">
        <v>26</v>
      </c>
      <c r="C8" s="3">
        <v>4128</v>
      </c>
      <c r="D8" s="3">
        <v>3481</v>
      </c>
      <c r="E8" s="3">
        <v>3280</v>
      </c>
      <c r="F8" s="3">
        <v>3134</v>
      </c>
      <c r="G8" s="3">
        <v>1729</v>
      </c>
      <c r="H8" s="3">
        <v>1393</v>
      </c>
      <c r="I8" s="13">
        <v>1370</v>
      </c>
      <c r="J8" s="3">
        <v>1391</v>
      </c>
      <c r="K8" s="3">
        <v>1849</v>
      </c>
      <c r="L8" s="3">
        <v>2343</v>
      </c>
      <c r="M8" s="3">
        <v>3618</v>
      </c>
      <c r="N8" s="3">
        <v>3964</v>
      </c>
      <c r="O8" s="18">
        <f t="shared" si="0"/>
        <v>1.0956329463792149</v>
      </c>
      <c r="Q8" s="24">
        <f t="shared" si="1"/>
        <v>2640</v>
      </c>
    </row>
    <row r="9" spans="1:17" ht="22.5" customHeight="1" x14ac:dyDescent="0.25">
      <c r="A9" s="39"/>
      <c r="B9" s="35" t="s">
        <v>18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</row>
    <row r="10" spans="1:17" ht="22.5" customHeight="1" x14ac:dyDescent="0.25">
      <c r="A10" s="39"/>
      <c r="B10" s="4"/>
      <c r="C10" s="3"/>
      <c r="D10" s="3"/>
      <c r="E10" s="3"/>
      <c r="F10" s="3"/>
      <c r="G10" s="3"/>
      <c r="H10" s="3"/>
      <c r="I10" s="13"/>
      <c r="J10" s="3"/>
      <c r="K10" s="3"/>
      <c r="L10" s="3"/>
      <c r="M10" s="3"/>
      <c r="N10" s="3"/>
    </row>
    <row r="11" spans="1:17" ht="22.5" customHeight="1" x14ac:dyDescent="0.25">
      <c r="A11" s="32" t="s">
        <v>16</v>
      </c>
      <c r="B11" s="33"/>
      <c r="C11" s="9">
        <f t="shared" ref="C11:I11" si="2">SUM(C5:C8,C10)</f>
        <v>12290894</v>
      </c>
      <c r="D11" s="9">
        <f t="shared" si="2"/>
        <v>9614566</v>
      </c>
      <c r="E11" s="9">
        <f t="shared" si="2"/>
        <v>9283900</v>
      </c>
      <c r="F11" s="17">
        <f t="shared" si="2"/>
        <v>8048586</v>
      </c>
      <c r="G11" s="17">
        <f t="shared" si="2"/>
        <v>7280412</v>
      </c>
      <c r="H11" s="17">
        <f t="shared" si="2"/>
        <v>7739021</v>
      </c>
      <c r="I11" s="17">
        <f t="shared" si="2"/>
        <v>8617337.6600000001</v>
      </c>
      <c r="J11" s="17">
        <f>SUM(J5:J8,J10)</f>
        <v>8445967</v>
      </c>
      <c r="K11" s="9">
        <f>SUM(K5:K8,K10)</f>
        <v>7906023.5199999996</v>
      </c>
      <c r="L11" s="9">
        <f>SUM(L5:L8,L10)</f>
        <v>8247248</v>
      </c>
      <c r="M11" s="9">
        <f>SUM(M5:M8,M10)</f>
        <v>9877454.7200000007</v>
      </c>
      <c r="N11" s="9">
        <f>SUM(N5:N8,N10)</f>
        <v>11962177.719999999</v>
      </c>
    </row>
    <row r="12" spans="1:17" ht="22.5" customHeight="1" x14ac:dyDescent="0.25">
      <c r="C12" s="10"/>
      <c r="D12" s="10"/>
      <c r="E12" s="10"/>
      <c r="F12" s="10"/>
      <c r="G12" s="10"/>
      <c r="H12" s="10"/>
      <c r="I12" s="14"/>
      <c r="J12" s="10"/>
      <c r="K12" s="10"/>
      <c r="L12" s="10"/>
      <c r="M12" s="10"/>
      <c r="N12" s="10"/>
    </row>
    <row r="14" spans="1:17" ht="22.5" customHeight="1" x14ac:dyDescent="0.25">
      <c r="J14" s="10"/>
      <c r="K14" s="10"/>
    </row>
    <row r="15" spans="1:17" ht="22.5" customHeight="1" x14ac:dyDescent="0.25">
      <c r="J15" s="10"/>
      <c r="K15" s="16"/>
      <c r="L15" s="16"/>
    </row>
    <row r="16" spans="1:17" ht="22.5" customHeight="1" x14ac:dyDescent="0.25">
      <c r="J16" s="10"/>
      <c r="K16" s="10"/>
      <c r="L16" s="16"/>
    </row>
    <row r="17" spans="5:13" ht="22.5" customHeight="1" x14ac:dyDescent="0.25">
      <c r="E17" s="20"/>
      <c r="G17" s="21"/>
      <c r="I17" s="22"/>
      <c r="J17" s="23"/>
      <c r="L17" s="16"/>
    </row>
    <row r="18" spans="5:13" ht="22.5" customHeight="1" x14ac:dyDescent="0.25">
      <c r="E18" s="18"/>
      <c r="G18" s="18"/>
      <c r="H18" s="20"/>
      <c r="I18" s="22"/>
      <c r="J18" s="18"/>
      <c r="L18" s="16"/>
      <c r="M18" s="16"/>
    </row>
    <row r="19" spans="5:13" ht="22.5" customHeight="1" x14ac:dyDescent="0.25">
      <c r="E19" s="18"/>
      <c r="G19" s="18"/>
      <c r="H19" s="20"/>
      <c r="I19" s="22"/>
      <c r="J19" s="18"/>
    </row>
    <row r="20" spans="5:13" ht="22.5" customHeight="1" x14ac:dyDescent="0.25">
      <c r="E20" s="18"/>
      <c r="F20" s="20"/>
      <c r="G20" s="18"/>
      <c r="H20" s="18"/>
      <c r="I20" s="19"/>
      <c r="J20" s="18"/>
    </row>
    <row r="21" spans="5:13" ht="22.5" customHeight="1" x14ac:dyDescent="0.25">
      <c r="E21" s="18"/>
      <c r="F21" s="20"/>
      <c r="G21" s="18"/>
      <c r="H21" s="18"/>
      <c r="I21" s="19"/>
      <c r="J21" s="18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1"/>
  <sheetViews>
    <sheetView topLeftCell="B1" zoomScale="75" zoomScaleNormal="75" workbookViewId="0">
      <selection activeCell="W5" sqref="W5:W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20.28515625" style="1" customWidth="1"/>
    <col min="7" max="7" width="20.28515625" style="1" hidden="1" customWidth="1"/>
    <col min="8" max="8" width="20.28515625" style="1" customWidth="1"/>
    <col min="9" max="9" width="20.28515625" style="1" hidden="1" customWidth="1"/>
    <col min="10" max="10" width="20.28515625" style="1" customWidth="1"/>
    <col min="11" max="11" width="20.28515625" style="1" hidden="1" customWidth="1"/>
    <col min="12" max="12" width="20.28515625" style="15" customWidth="1"/>
    <col min="13" max="13" width="20.28515625" style="15" hidden="1" customWidth="1"/>
    <col min="14" max="14" width="20.28515625" style="1" customWidth="1"/>
    <col min="15" max="15" width="20.28515625" style="1" hidden="1" customWidth="1"/>
    <col min="16" max="16" width="20.28515625" style="1" customWidth="1"/>
    <col min="17" max="17" width="20.28515625" style="1" hidden="1" customWidth="1"/>
    <col min="18" max="18" width="20.28515625" style="1" customWidth="1"/>
    <col min="19" max="19" width="20.28515625" style="1" hidden="1" customWidth="1"/>
    <col min="20" max="20" width="20.28515625" style="1" customWidth="1"/>
    <col min="21" max="21" width="20.28515625" style="1" hidden="1" customWidth="1"/>
    <col min="22" max="22" width="20.28515625" style="1" customWidth="1"/>
    <col min="23" max="23" width="12.7109375" style="18" bestFit="1" customWidth="1"/>
    <col min="24" max="16384" width="9.140625" style="1"/>
  </cols>
  <sheetData>
    <row r="2" spans="1:23" ht="42.75" customHeight="1" x14ac:dyDescent="0.25">
      <c r="A2" s="34" t="s">
        <v>29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3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/>
      <c r="H3" s="8" t="s">
        <v>6</v>
      </c>
      <c r="I3" s="8"/>
      <c r="J3" s="8" t="s">
        <v>7</v>
      </c>
      <c r="K3" s="8"/>
      <c r="L3" s="12" t="s">
        <v>8</v>
      </c>
      <c r="M3" s="12"/>
      <c r="N3" s="8" t="s">
        <v>9</v>
      </c>
      <c r="O3" s="8"/>
      <c r="P3" s="8" t="s">
        <v>10</v>
      </c>
      <c r="Q3" s="8"/>
      <c r="R3" s="8" t="s">
        <v>11</v>
      </c>
      <c r="S3" s="8"/>
      <c r="T3" s="8" t="s">
        <v>12</v>
      </c>
      <c r="U3" s="8"/>
      <c r="V3" s="8" t="s">
        <v>13</v>
      </c>
      <c r="W3" s="26"/>
    </row>
    <row r="4" spans="1:23" ht="22.5" customHeight="1" x14ac:dyDescent="0.25">
      <c r="A4" s="38" t="s">
        <v>30</v>
      </c>
      <c r="B4" s="35" t="s">
        <v>17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7"/>
    </row>
    <row r="5" spans="1:23" ht="22.5" customHeight="1" x14ac:dyDescent="0.25">
      <c r="A5" s="39"/>
      <c r="B5" s="5" t="s">
        <v>14</v>
      </c>
      <c r="C5" s="3">
        <v>11362033.080000002</v>
      </c>
      <c r="D5" s="3">
        <v>10184562.959999999</v>
      </c>
      <c r="E5" s="3">
        <v>9500263.040000001</v>
      </c>
      <c r="F5" s="3">
        <v>8079282</v>
      </c>
      <c r="G5" s="3">
        <v>0.91613928839353553</v>
      </c>
      <c r="H5" s="3">
        <v>5846279</v>
      </c>
      <c r="I5" s="3">
        <f>H5/F5</f>
        <v>0.72361368250297486</v>
      </c>
      <c r="J5" s="3">
        <v>6201883.1999999993</v>
      </c>
      <c r="K5" s="3">
        <v>1.1188650039213102</v>
      </c>
      <c r="L5" s="13">
        <v>7743765.3999999985</v>
      </c>
      <c r="M5" s="13">
        <v>0.9750415963164949</v>
      </c>
      <c r="N5" s="3">
        <v>7954073</v>
      </c>
      <c r="O5" s="3">
        <v>0.94100075804129979</v>
      </c>
      <c r="P5" s="3">
        <v>7212246</v>
      </c>
      <c r="Q5" s="3">
        <v>1.0221890090241847</v>
      </c>
      <c r="R5" s="3">
        <v>7271011</v>
      </c>
      <c r="S5" s="3">
        <v>1.1914824157863622</v>
      </c>
      <c r="T5" s="3">
        <v>10139958</v>
      </c>
      <c r="U5" s="3">
        <v>1.2186688830669452</v>
      </c>
      <c r="V5" s="3">
        <v>11099613.400000002</v>
      </c>
      <c r="W5" s="18">
        <f>'2021'!C5/'2020'!V5</f>
        <v>1.0531882596919993</v>
      </c>
    </row>
    <row r="6" spans="1:23" ht="22.5" customHeight="1" x14ac:dyDescent="0.25">
      <c r="A6" s="39"/>
      <c r="B6" s="5" t="s">
        <v>15</v>
      </c>
      <c r="C6" s="3">
        <v>550573</v>
      </c>
      <c r="D6" s="3">
        <v>595748</v>
      </c>
      <c r="E6" s="3">
        <v>468892</v>
      </c>
      <c r="F6" s="3">
        <v>382680</v>
      </c>
      <c r="G6" s="3">
        <v>0.79075673337285501</v>
      </c>
      <c r="H6" s="3">
        <v>295965</v>
      </c>
      <c r="I6" s="3">
        <v>1.1047646063602379</v>
      </c>
      <c r="J6" s="3">
        <v>268255</v>
      </c>
      <c r="K6" s="3">
        <v>0.984156823906292</v>
      </c>
      <c r="L6" s="13">
        <v>344323</v>
      </c>
      <c r="M6" s="13">
        <v>1.0956295948888219</v>
      </c>
      <c r="N6" s="3">
        <v>281840</v>
      </c>
      <c r="O6" s="3">
        <v>0.87715946137491141</v>
      </c>
      <c r="P6" s="3">
        <v>266918</v>
      </c>
      <c r="Q6" s="3">
        <v>1.3188857791078734</v>
      </c>
      <c r="R6" s="3">
        <v>326973</v>
      </c>
      <c r="S6" s="3">
        <v>1.2463984395484295</v>
      </c>
      <c r="T6" s="3">
        <v>436782</v>
      </c>
      <c r="U6" s="3">
        <v>1.133147477877237</v>
      </c>
      <c r="V6" s="3">
        <v>426519</v>
      </c>
      <c r="W6" s="18">
        <f>'2021'!C6/'2020'!V6</f>
        <v>1.2958203503243702</v>
      </c>
    </row>
    <row r="7" spans="1:23" ht="22.5" customHeight="1" x14ac:dyDescent="0.25">
      <c r="A7" s="39"/>
      <c r="B7" s="11" t="s">
        <v>25</v>
      </c>
      <c r="C7" s="3">
        <v>295818.61999999994</v>
      </c>
      <c r="D7" s="3">
        <v>262733</v>
      </c>
      <c r="E7" s="3">
        <v>236150</v>
      </c>
      <c r="F7" s="3">
        <v>190806</v>
      </c>
      <c r="G7" s="3">
        <v>0.69446082188550207</v>
      </c>
      <c r="H7" s="3">
        <v>129082</v>
      </c>
      <c r="I7" s="3">
        <v>0.91799497682974285</v>
      </c>
      <c r="J7" s="3">
        <v>98782</v>
      </c>
      <c r="K7" s="3">
        <v>1.1394844089584888</v>
      </c>
      <c r="L7" s="13">
        <v>140188</v>
      </c>
      <c r="M7" s="13">
        <v>1.0076720973433975</v>
      </c>
      <c r="N7" s="3">
        <v>108177</v>
      </c>
      <c r="O7" s="3">
        <v>0.80905716606146849</v>
      </c>
      <c r="P7" s="3">
        <v>98897</v>
      </c>
      <c r="Q7" s="3">
        <v>1.6322932826719982</v>
      </c>
      <c r="R7" s="3">
        <v>151261</v>
      </c>
      <c r="S7" s="3">
        <v>1.3326065411298316</v>
      </c>
      <c r="T7" s="3">
        <v>235041</v>
      </c>
      <c r="U7" s="3">
        <v>1.0995816122991491</v>
      </c>
      <c r="V7" s="3">
        <v>299613</v>
      </c>
      <c r="W7" s="18">
        <f>'2021'!C7/'2020'!V7</f>
        <v>0.97905631598094878</v>
      </c>
    </row>
    <row r="8" spans="1:23" ht="22.5" customHeight="1" x14ac:dyDescent="0.25">
      <c r="A8" s="39"/>
      <c r="B8" s="11" t="s">
        <v>26</v>
      </c>
      <c r="C8" s="3">
        <v>4159</v>
      </c>
      <c r="D8" s="3">
        <v>4044</v>
      </c>
      <c r="E8" s="3">
        <v>3206</v>
      </c>
      <c r="F8" s="3">
        <v>2946</v>
      </c>
      <c r="G8" s="3">
        <v>0.55169112954690491</v>
      </c>
      <c r="H8" s="3">
        <v>2043</v>
      </c>
      <c r="I8" s="3">
        <v>0.80566801619433204</v>
      </c>
      <c r="J8" s="3">
        <v>1292</v>
      </c>
      <c r="K8" s="3">
        <v>0.98348887293610909</v>
      </c>
      <c r="L8" s="13">
        <v>1133</v>
      </c>
      <c r="M8" s="13">
        <v>1.0153284671532847</v>
      </c>
      <c r="N8" s="3">
        <v>1253</v>
      </c>
      <c r="O8" s="3">
        <v>1.3292595255212079</v>
      </c>
      <c r="P8" s="3">
        <v>1483</v>
      </c>
      <c r="Q8" s="3">
        <v>1.2671714440237967</v>
      </c>
      <c r="R8" s="3">
        <v>2296</v>
      </c>
      <c r="S8" s="3">
        <v>1.5441741357234315</v>
      </c>
      <c r="T8" s="3">
        <v>2983</v>
      </c>
      <c r="U8" s="3">
        <v>1.0956329463792149</v>
      </c>
      <c r="V8" s="3">
        <v>2844</v>
      </c>
      <c r="W8" s="18">
        <f>'2021'!C8/'2020'!V8</f>
        <v>0.76371308016877637</v>
      </c>
    </row>
    <row r="9" spans="1:23" ht="22.5" customHeight="1" x14ac:dyDescent="0.25">
      <c r="A9" s="39"/>
      <c r="B9" s="35" t="s">
        <v>18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7"/>
    </row>
    <row r="10" spans="1:23" ht="22.5" customHeight="1" x14ac:dyDescent="0.25">
      <c r="A10" s="39"/>
      <c r="B10" s="4"/>
      <c r="C10" s="3"/>
      <c r="D10" s="3"/>
      <c r="E10" s="3"/>
      <c r="F10" s="3"/>
      <c r="G10" s="3"/>
      <c r="H10" s="3"/>
      <c r="I10" s="3"/>
      <c r="J10" s="3"/>
      <c r="K10" s="3"/>
      <c r="L10" s="13"/>
      <c r="M10" s="13"/>
      <c r="N10" s="3"/>
      <c r="O10" s="3"/>
      <c r="P10" s="3"/>
      <c r="Q10" s="3"/>
      <c r="R10" s="3"/>
      <c r="S10" s="3"/>
      <c r="T10" s="3"/>
      <c r="U10" s="3"/>
      <c r="V10" s="3"/>
    </row>
    <row r="11" spans="1:23" ht="22.5" customHeight="1" x14ac:dyDescent="0.25">
      <c r="A11" s="32" t="s">
        <v>16</v>
      </c>
      <c r="B11" s="33"/>
      <c r="C11" s="9">
        <f t="shared" ref="C11:L11" si="0">SUM(C5:C8,C10)</f>
        <v>12212583.700000001</v>
      </c>
      <c r="D11" s="9">
        <f t="shared" si="0"/>
        <v>11047087.959999999</v>
      </c>
      <c r="E11" s="9">
        <f t="shared" si="0"/>
        <v>10208511.040000001</v>
      </c>
      <c r="F11" s="17">
        <f t="shared" si="0"/>
        <v>8655714</v>
      </c>
      <c r="G11" s="17"/>
      <c r="H11" s="17">
        <f t="shared" si="0"/>
        <v>6273369</v>
      </c>
      <c r="I11" s="17"/>
      <c r="J11" s="17">
        <f t="shared" si="0"/>
        <v>6570212.1999999993</v>
      </c>
      <c r="K11" s="17"/>
      <c r="L11" s="17">
        <f t="shared" si="0"/>
        <v>8229409.3999999985</v>
      </c>
      <c r="M11" s="17"/>
      <c r="N11" s="17">
        <f>SUM(N5:N8,N10)</f>
        <v>8345343</v>
      </c>
      <c r="O11" s="17"/>
      <c r="P11" s="9">
        <f>SUM(P5:P8,P10)</f>
        <v>7579544</v>
      </c>
      <c r="Q11" s="9"/>
      <c r="R11" s="9">
        <f>SUM(R5:R8,R10)</f>
        <v>7751541</v>
      </c>
      <c r="S11" s="9"/>
      <c r="T11" s="9">
        <f>SUM(T5:T8,T10)</f>
        <v>10814764</v>
      </c>
      <c r="U11" s="9"/>
      <c r="V11" s="9">
        <f>SUM(V5:V8,V10)</f>
        <v>11828589.400000002</v>
      </c>
    </row>
    <row r="12" spans="1:23" ht="22.5" customHeight="1" x14ac:dyDescent="0.25">
      <c r="C12" s="10"/>
      <c r="D12" s="10"/>
      <c r="E12" s="10"/>
      <c r="F12" s="10"/>
      <c r="G12" s="10"/>
      <c r="H12" s="10"/>
      <c r="I12" s="10"/>
      <c r="J12" s="10"/>
      <c r="K12" s="10"/>
      <c r="L12" s="14"/>
      <c r="M12" s="14"/>
      <c r="N12" s="10"/>
      <c r="O12" s="10"/>
      <c r="P12" s="10"/>
      <c r="Q12" s="10"/>
      <c r="R12" s="10"/>
      <c r="S12" s="10"/>
      <c r="T12" s="10"/>
      <c r="U12" s="10"/>
      <c r="V12" s="10"/>
    </row>
    <row r="14" spans="1:23" ht="22.5" customHeight="1" x14ac:dyDescent="0.25">
      <c r="N14" s="10"/>
      <c r="O14" s="10"/>
      <c r="P14" s="10"/>
      <c r="Q14" s="10"/>
      <c r="R14" s="10"/>
      <c r="S14" s="10"/>
    </row>
    <row r="15" spans="1:23" ht="22.5" customHeight="1" x14ac:dyDescent="0.25">
      <c r="N15" s="10"/>
      <c r="O15" s="10"/>
      <c r="P15" s="16"/>
      <c r="Q15" s="16"/>
      <c r="R15" s="16"/>
      <c r="S15" s="16"/>
    </row>
    <row r="16" spans="1:23" ht="22.5" customHeight="1" x14ac:dyDescent="0.25">
      <c r="N16" s="23"/>
      <c r="O16" s="23"/>
      <c r="P16" s="10"/>
      <c r="Q16" s="10"/>
      <c r="R16" s="16"/>
      <c r="S16" s="16"/>
      <c r="T16" s="16"/>
      <c r="U16" s="16"/>
    </row>
    <row r="17" spans="5:21" ht="22.5" customHeight="1" x14ac:dyDescent="0.25">
      <c r="E17" s="20"/>
      <c r="H17" s="21"/>
      <c r="I17" s="21"/>
      <c r="L17" s="22"/>
      <c r="M17" s="22"/>
      <c r="N17" s="23"/>
      <c r="O17" s="23"/>
      <c r="R17" s="16"/>
      <c r="S17" s="16"/>
      <c r="T17" s="16"/>
      <c r="U17" s="16"/>
    </row>
    <row r="18" spans="5:21" ht="22.5" customHeight="1" x14ac:dyDescent="0.25">
      <c r="E18" s="18"/>
      <c r="H18" s="18"/>
      <c r="I18" s="18"/>
      <c r="J18" s="20"/>
      <c r="K18" s="20"/>
      <c r="L18" s="22"/>
      <c r="M18" s="22"/>
      <c r="N18" s="20"/>
      <c r="O18" s="20"/>
      <c r="R18" s="16"/>
      <c r="S18" s="16"/>
      <c r="T18" s="16"/>
      <c r="U18" s="16"/>
    </row>
    <row r="19" spans="5:21" ht="22.5" customHeight="1" x14ac:dyDescent="0.25">
      <c r="E19" s="18"/>
      <c r="H19" s="18"/>
      <c r="I19" s="18"/>
      <c r="J19" s="20"/>
      <c r="K19" s="20"/>
      <c r="L19" s="22"/>
      <c r="M19" s="22"/>
      <c r="N19" s="20"/>
      <c r="O19" s="20"/>
      <c r="T19" s="16"/>
      <c r="U19" s="16"/>
    </row>
    <row r="20" spans="5:21" ht="22.5" customHeight="1" x14ac:dyDescent="0.25">
      <c r="E20" s="18"/>
      <c r="F20" s="20"/>
      <c r="G20" s="20"/>
      <c r="H20" s="18"/>
      <c r="I20" s="18"/>
      <c r="J20" s="18"/>
      <c r="K20" s="18"/>
      <c r="L20" s="19"/>
      <c r="M20" s="19"/>
      <c r="N20" s="18"/>
      <c r="O20" s="18"/>
      <c r="T20" s="16"/>
      <c r="U20" s="16"/>
    </row>
    <row r="21" spans="5:21" ht="22.5" customHeight="1" x14ac:dyDescent="0.25">
      <c r="E21" s="18"/>
      <c r="F21" s="20"/>
      <c r="G21" s="20"/>
      <c r="H21" s="18"/>
      <c r="I21" s="18"/>
      <c r="J21" s="18"/>
      <c r="K21" s="18"/>
      <c r="L21" s="19"/>
      <c r="M21" s="19"/>
      <c r="N21" s="18"/>
      <c r="O21" s="18"/>
    </row>
  </sheetData>
  <mergeCells count="5">
    <mergeCell ref="A2:V2"/>
    <mergeCell ref="A4:A10"/>
    <mergeCell ref="B4:V4"/>
    <mergeCell ref="B9:V9"/>
    <mergeCell ref="A11:B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25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H5" sqref="AH5:AH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20.28515625" style="1" customWidth="1"/>
    <col min="4" max="4" width="20.28515625" style="1" hidden="1" customWidth="1"/>
    <col min="5" max="5" width="20.28515625" style="1" customWidth="1"/>
    <col min="6" max="6" width="20.28515625" style="1" hidden="1" customWidth="1"/>
    <col min="7" max="7" width="20.28515625" style="1" customWidth="1"/>
    <col min="8" max="8" width="20.28515625" style="1" hidden="1" customWidth="1"/>
    <col min="9" max="9" width="20.28515625" style="1" customWidth="1"/>
    <col min="10" max="11" width="20.28515625" style="1" hidden="1" customWidth="1"/>
    <col min="12" max="12" width="20.28515625" style="1" customWidth="1"/>
    <col min="13" max="14" width="20.28515625" style="1" hidden="1" customWidth="1"/>
    <col min="15" max="15" width="20.28515625" style="1" customWidth="1"/>
    <col min="16" max="17" width="20.28515625" style="1" hidden="1" customWidth="1"/>
    <col min="18" max="18" width="20.28515625" style="15" customWidth="1"/>
    <col min="19" max="20" width="20.28515625" style="15" hidden="1" customWidth="1"/>
    <col min="21" max="21" width="20.28515625" style="1" customWidth="1"/>
    <col min="22" max="23" width="20.28515625" style="1" hidden="1" customWidth="1"/>
    <col min="24" max="24" width="20.28515625" style="1" customWidth="1"/>
    <col min="25" max="26" width="20.28515625" style="1" hidden="1" customWidth="1"/>
    <col min="27" max="27" width="20.28515625" style="1" customWidth="1"/>
    <col min="28" max="29" width="20.28515625" style="1" hidden="1" customWidth="1"/>
    <col min="30" max="30" width="20.28515625" style="1" customWidth="1"/>
    <col min="31" max="32" width="20.28515625" style="1" hidden="1" customWidth="1"/>
    <col min="33" max="33" width="20.28515625" style="1" customWidth="1"/>
    <col min="34" max="34" width="9.140625" style="18"/>
    <col min="35" max="16384" width="9.140625" style="1"/>
  </cols>
  <sheetData>
    <row r="2" spans="1:34" ht="42.75" customHeight="1" x14ac:dyDescent="0.25">
      <c r="A2" s="34" t="s">
        <v>31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1:34" s="2" customFormat="1" ht="33" customHeight="1" x14ac:dyDescent="0.25">
      <c r="A3" s="6" t="s">
        <v>0</v>
      </c>
      <c r="B3" s="7" t="s">
        <v>1</v>
      </c>
      <c r="C3" s="8" t="s">
        <v>2</v>
      </c>
      <c r="D3" s="8"/>
      <c r="E3" s="8" t="s">
        <v>3</v>
      </c>
      <c r="F3" s="8"/>
      <c r="G3" s="8" t="s">
        <v>4</v>
      </c>
      <c r="H3" s="8"/>
      <c r="I3" s="8" t="s">
        <v>5</v>
      </c>
      <c r="J3" s="8"/>
      <c r="K3" s="8"/>
      <c r="L3" s="8" t="s">
        <v>6</v>
      </c>
      <c r="M3" s="8"/>
      <c r="N3" s="8"/>
      <c r="O3" s="8" t="s">
        <v>7</v>
      </c>
      <c r="P3" s="8"/>
      <c r="Q3" s="8"/>
      <c r="R3" s="12" t="s">
        <v>8</v>
      </c>
      <c r="S3" s="12"/>
      <c r="T3" s="12"/>
      <c r="U3" s="8" t="s">
        <v>9</v>
      </c>
      <c r="V3" s="8"/>
      <c r="W3" s="8"/>
      <c r="X3" s="8" t="s">
        <v>10</v>
      </c>
      <c r="Y3" s="8"/>
      <c r="Z3" s="8"/>
      <c r="AA3" s="8" t="s">
        <v>11</v>
      </c>
      <c r="AB3" s="8"/>
      <c r="AC3" s="8"/>
      <c r="AD3" s="8" t="s">
        <v>12</v>
      </c>
      <c r="AE3" s="8"/>
      <c r="AF3" s="8"/>
      <c r="AG3" s="8" t="s">
        <v>13</v>
      </c>
      <c r="AH3" s="26"/>
    </row>
    <row r="4" spans="1:34" ht="22.5" customHeight="1" x14ac:dyDescent="0.25">
      <c r="A4" s="38" t="s">
        <v>30</v>
      </c>
      <c r="B4" s="35" t="s">
        <v>17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7"/>
    </row>
    <row r="5" spans="1:34" ht="22.5" customHeight="1" x14ac:dyDescent="0.25">
      <c r="A5" s="39"/>
      <c r="B5" s="5" t="s">
        <v>14</v>
      </c>
      <c r="C5" s="3">
        <v>11689982.519999998</v>
      </c>
      <c r="D5" s="3">
        <v>0.89636800811004125</v>
      </c>
      <c r="E5" s="3">
        <v>10065402.440000001</v>
      </c>
      <c r="F5" s="3">
        <v>0.9328100849601898</v>
      </c>
      <c r="G5" s="3">
        <v>11056286</v>
      </c>
      <c r="H5" s="3">
        <v>0.85042718985599786</v>
      </c>
      <c r="I5" s="3">
        <v>9043179</v>
      </c>
      <c r="J5" s="3"/>
      <c r="K5" s="3">
        <v>0.72361368250297486</v>
      </c>
      <c r="L5" s="3">
        <f>8777000+624176</f>
        <v>9401176</v>
      </c>
      <c r="M5" s="3"/>
      <c r="N5" s="3">
        <v>1.060825732059657</v>
      </c>
      <c r="O5" s="13">
        <v>8694947</v>
      </c>
      <c r="P5" s="3"/>
      <c r="Q5" s="3">
        <v>1.2486151625686854</v>
      </c>
      <c r="R5" s="13">
        <f>10233189+546631</f>
        <v>10779820</v>
      </c>
      <c r="S5" s="13"/>
      <c r="T5" s="13">
        <v>1.0271583124147849</v>
      </c>
      <c r="U5" s="13">
        <f>9459312+527286</f>
        <v>9986598</v>
      </c>
      <c r="V5" s="3"/>
      <c r="W5" s="3">
        <v>0.90673620923519305</v>
      </c>
      <c r="X5" s="3">
        <v>8728404.5999999959</v>
      </c>
      <c r="Y5" s="3"/>
      <c r="Z5" s="3">
        <v>1.0081479472552655</v>
      </c>
      <c r="AA5" s="3">
        <v>8961159.4000000022</v>
      </c>
      <c r="AB5" s="3"/>
      <c r="AC5" s="3">
        <v>1.3945733268729754</v>
      </c>
      <c r="AD5" s="3">
        <v>8370154.1199999992</v>
      </c>
      <c r="AE5" s="3"/>
      <c r="AF5" s="3">
        <v>1.0946409639961037</v>
      </c>
      <c r="AG5" s="3">
        <f>'[1]РУС_Став. опт согл с ржд по МВИ'!$J$232+[2]РОЗНИЦА!$J$213</f>
        <v>9311873.2399999984</v>
      </c>
      <c r="AH5" s="18">
        <f>'2022'!D5/'2021'!AG5</f>
        <v>1.1242749348250367</v>
      </c>
    </row>
    <row r="6" spans="1:34" ht="22.5" customHeight="1" x14ac:dyDescent="0.25">
      <c r="A6" s="39"/>
      <c r="B6" s="5" t="s">
        <v>15</v>
      </c>
      <c r="C6" s="3">
        <v>552692</v>
      </c>
      <c r="D6" s="3">
        <v>1.0820508815361451</v>
      </c>
      <c r="E6" s="3">
        <v>473793</v>
      </c>
      <c r="F6" s="3">
        <v>0.78706432921302294</v>
      </c>
      <c r="G6" s="3">
        <v>529948</v>
      </c>
      <c r="H6" s="3">
        <v>0.81613676496933196</v>
      </c>
      <c r="I6" s="3">
        <v>597405</v>
      </c>
      <c r="J6" s="3"/>
      <c r="K6" s="3">
        <v>0.7734007525870179</v>
      </c>
      <c r="L6" s="3">
        <f>42024+478716</f>
        <v>520740</v>
      </c>
      <c r="M6" s="3"/>
      <c r="N6" s="3">
        <v>0.90637406450086999</v>
      </c>
      <c r="O6" s="13">
        <v>347105</v>
      </c>
      <c r="P6" s="3"/>
      <c r="Q6" s="3">
        <v>1.2835660099532162</v>
      </c>
      <c r="R6" s="13">
        <f>32599+1496+339446</f>
        <v>373541</v>
      </c>
      <c r="S6" s="13"/>
      <c r="T6" s="13">
        <v>0.81853376045166892</v>
      </c>
      <c r="U6" s="13">
        <f>36215+366013</f>
        <v>402228</v>
      </c>
      <c r="V6" s="3"/>
      <c r="W6" s="3">
        <v>0.94705506670451323</v>
      </c>
      <c r="X6" s="3">
        <v>328778</v>
      </c>
      <c r="Y6" s="3"/>
      <c r="Z6" s="3">
        <v>1.2249941929731227</v>
      </c>
      <c r="AA6" s="3">
        <v>502694</v>
      </c>
      <c r="AB6" s="3"/>
      <c r="AC6" s="3">
        <v>1.3358350689506473</v>
      </c>
      <c r="AD6" s="3">
        <v>535013</v>
      </c>
      <c r="AE6" s="3"/>
      <c r="AF6" s="3">
        <v>0.97650315260244236</v>
      </c>
      <c r="AG6" s="3">
        <f>'[1]РУС_Став. опт согл с ржд по МВИ'!$J$233+'[1]РУС_Став. опт согл с ржд по МВИ'!$J$234+[2]РОЗНИЦА!$J$214</f>
        <v>635297</v>
      </c>
      <c r="AH6" s="18">
        <f>'2022'!D6/'2021'!AG6</f>
        <v>0.9840295169031178</v>
      </c>
    </row>
    <row r="7" spans="1:34" ht="22.5" customHeight="1" x14ac:dyDescent="0.25">
      <c r="A7" s="39"/>
      <c r="B7" s="11" t="s">
        <v>25</v>
      </c>
      <c r="C7" s="3">
        <v>293338</v>
      </c>
      <c r="D7" s="3">
        <v>0.88815572190824243</v>
      </c>
      <c r="E7" s="3">
        <v>246452</v>
      </c>
      <c r="F7" s="3">
        <v>0.89882123676888703</v>
      </c>
      <c r="G7" s="3">
        <v>274811</v>
      </c>
      <c r="H7" s="3">
        <v>0.80798644929070507</v>
      </c>
      <c r="I7" s="3">
        <v>198317</v>
      </c>
      <c r="J7" s="3"/>
      <c r="K7" s="3">
        <v>0.67650912445101308</v>
      </c>
      <c r="L7" s="3">
        <v>123908</v>
      </c>
      <c r="M7" s="3"/>
      <c r="N7" s="3">
        <v>0.76526549015354584</v>
      </c>
      <c r="O7" s="13">
        <v>135199</v>
      </c>
      <c r="P7" s="3"/>
      <c r="Q7" s="3">
        <v>1.419165434998279</v>
      </c>
      <c r="R7" s="13">
        <v>151418</v>
      </c>
      <c r="S7" s="13"/>
      <c r="T7" s="13">
        <v>0.77165663252204186</v>
      </c>
      <c r="U7" s="13">
        <v>142031</v>
      </c>
      <c r="V7" s="3"/>
      <c r="W7" s="3">
        <v>0.91421466670364315</v>
      </c>
      <c r="X7" s="3">
        <v>133321</v>
      </c>
      <c r="Y7" s="3"/>
      <c r="Z7" s="3">
        <v>1.5294801662335562</v>
      </c>
      <c r="AA7" s="3">
        <v>208715.02000000043</v>
      </c>
      <c r="AB7" s="3"/>
      <c r="AC7" s="3">
        <v>1.5538770734029261</v>
      </c>
      <c r="AD7" s="3">
        <v>220827</v>
      </c>
      <c r="AE7" s="3"/>
      <c r="AF7" s="3">
        <v>1.2747265370722556</v>
      </c>
      <c r="AG7" s="3">
        <f>[2]РОЗНИЦА!$J$215</f>
        <v>273933</v>
      </c>
      <c r="AH7" s="18">
        <f>'2022'!D7/'2021'!AG7</f>
        <v>1.0360051545450895</v>
      </c>
    </row>
    <row r="8" spans="1:34" ht="22.5" customHeight="1" x14ac:dyDescent="0.25">
      <c r="A8" s="39"/>
      <c r="B8" s="11" t="s">
        <v>26</v>
      </c>
      <c r="C8" s="3">
        <v>2172</v>
      </c>
      <c r="D8" s="3">
        <v>0.97234912238518878</v>
      </c>
      <c r="E8" s="3">
        <v>1779</v>
      </c>
      <c r="F8" s="3">
        <v>0.79277942631058362</v>
      </c>
      <c r="G8" s="3">
        <v>1932</v>
      </c>
      <c r="H8" s="3">
        <v>0.91890205864004992</v>
      </c>
      <c r="I8" s="3">
        <v>1534</v>
      </c>
      <c r="J8" s="3"/>
      <c r="K8" s="3">
        <v>0.69348268839103866</v>
      </c>
      <c r="L8" s="3">
        <v>952</v>
      </c>
      <c r="M8" s="3"/>
      <c r="N8" s="3">
        <v>0.63240332843857072</v>
      </c>
      <c r="O8" s="13">
        <v>834</v>
      </c>
      <c r="P8" s="3"/>
      <c r="Q8" s="3">
        <v>0.87693498452012386</v>
      </c>
      <c r="R8" s="13">
        <v>2607</v>
      </c>
      <c r="S8" s="13"/>
      <c r="T8" s="13">
        <v>1.1059135039717565</v>
      </c>
      <c r="U8" s="13">
        <v>679</v>
      </c>
      <c r="V8" s="3"/>
      <c r="W8" s="3">
        <v>1.1835594573024741</v>
      </c>
      <c r="X8" s="3">
        <v>1649</v>
      </c>
      <c r="Y8" s="3"/>
      <c r="Z8" s="3">
        <v>1.5482130815913688</v>
      </c>
      <c r="AA8" s="3">
        <v>1498</v>
      </c>
      <c r="AB8" s="3"/>
      <c r="AC8" s="3">
        <v>1.2992160278745644</v>
      </c>
      <c r="AD8" s="3">
        <v>3933</v>
      </c>
      <c r="AE8" s="3"/>
      <c r="AF8" s="3">
        <v>0.95340261481729804</v>
      </c>
      <c r="AG8" s="3">
        <f>[2]РОЗНИЦА!$J$216</f>
        <v>3742</v>
      </c>
      <c r="AH8" s="24">
        <f>'2022'!D8/'2021'!AG8</f>
        <v>0.48450026723677175</v>
      </c>
    </row>
    <row r="9" spans="1:34" ht="22.5" customHeight="1" x14ac:dyDescent="0.25">
      <c r="A9" s="39"/>
      <c r="B9" s="35" t="s">
        <v>18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/>
    </row>
    <row r="10" spans="1:34" ht="22.5" customHeight="1" x14ac:dyDescent="0.25">
      <c r="A10" s="39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13"/>
      <c r="S10" s="13"/>
      <c r="T10" s="1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4" ht="22.5" customHeight="1" x14ac:dyDescent="0.25">
      <c r="A11" s="32" t="s">
        <v>16</v>
      </c>
      <c r="B11" s="33"/>
      <c r="C11" s="9">
        <f t="shared" ref="C11:O11" si="0">SUM(C5:C8,C10)</f>
        <v>12538184.519999998</v>
      </c>
      <c r="D11" s="9"/>
      <c r="E11" s="9">
        <f t="shared" si="0"/>
        <v>10787426.440000001</v>
      </c>
      <c r="F11" s="9"/>
      <c r="G11" s="9">
        <f t="shared" si="0"/>
        <v>11862977</v>
      </c>
      <c r="H11" s="9"/>
      <c r="I11" s="17">
        <f t="shared" si="0"/>
        <v>9840435</v>
      </c>
      <c r="J11" s="17"/>
      <c r="K11" s="17"/>
      <c r="L11" s="17">
        <f>SUM(L5:L8,L10)</f>
        <v>10046776</v>
      </c>
      <c r="M11" s="17"/>
      <c r="N11" s="17"/>
      <c r="O11" s="17">
        <f t="shared" si="0"/>
        <v>9178085</v>
      </c>
      <c r="P11" s="17"/>
      <c r="Q11" s="17"/>
      <c r="R11" s="17">
        <f>SUM(R5:R8,R10)</f>
        <v>11307386</v>
      </c>
      <c r="S11" s="17"/>
      <c r="T11" s="17"/>
      <c r="U11" s="17">
        <f>SUM(U5:U8,U10)</f>
        <v>10531536</v>
      </c>
      <c r="V11" s="17"/>
      <c r="W11" s="17"/>
      <c r="X11" s="9">
        <f>SUM(X5:X8,X10)</f>
        <v>9192152.5999999959</v>
      </c>
      <c r="Y11" s="9"/>
      <c r="Z11" s="9"/>
      <c r="AA11" s="9">
        <f>SUM(AA5:AA8,AA10)</f>
        <v>9674066.4200000018</v>
      </c>
      <c r="AB11" s="9"/>
      <c r="AC11" s="9"/>
      <c r="AD11" s="9">
        <f>SUM(AD5:AD8,AD10)</f>
        <v>9129927.1199999992</v>
      </c>
      <c r="AE11" s="9"/>
      <c r="AF11" s="9"/>
      <c r="AG11" s="9">
        <f>SUM(AG5:AG8,AG10)</f>
        <v>10224845.239999998</v>
      </c>
    </row>
    <row r="12" spans="1:34" ht="22.5" customHeight="1" x14ac:dyDescent="0.25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4"/>
      <c r="S12" s="14"/>
      <c r="T12" s="14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  <row r="14" spans="1:34" ht="22.5" customHeight="1" x14ac:dyDescent="0.25">
      <c r="U14" s="10"/>
      <c r="V14" s="10"/>
      <c r="W14" s="10"/>
      <c r="X14" s="10"/>
      <c r="Y14" s="10"/>
      <c r="Z14" s="10"/>
      <c r="AA14" s="10"/>
      <c r="AB14" s="10"/>
      <c r="AC14" s="10"/>
    </row>
    <row r="15" spans="1:34" ht="22.5" customHeight="1" x14ac:dyDescent="0.25">
      <c r="U15" s="10"/>
      <c r="V15" s="10"/>
      <c r="W15" s="10"/>
      <c r="X15" s="16"/>
      <c r="Y15" s="16"/>
      <c r="Z15" s="16"/>
      <c r="AA15" s="16"/>
      <c r="AB15" s="16"/>
      <c r="AC15" s="16"/>
    </row>
    <row r="16" spans="1:34" ht="22.5" customHeight="1" x14ac:dyDescent="0.25">
      <c r="U16" s="23"/>
      <c r="V16" s="23"/>
      <c r="W16" s="23"/>
      <c r="X16" s="10"/>
      <c r="Y16" s="10"/>
      <c r="Z16" s="10"/>
      <c r="AA16" s="16"/>
      <c r="AB16" s="16"/>
      <c r="AC16" s="16"/>
      <c r="AD16" s="16"/>
      <c r="AE16" s="16"/>
      <c r="AF16" s="16"/>
    </row>
    <row r="17" spans="7:32" ht="22.5" customHeight="1" x14ac:dyDescent="0.25">
      <c r="G17" s="20"/>
      <c r="H17" s="20"/>
      <c r="L17" s="21"/>
      <c r="M17" s="21"/>
      <c r="N17" s="21"/>
      <c r="R17" s="22"/>
      <c r="S17" s="22"/>
      <c r="T17" s="22"/>
      <c r="U17" s="23"/>
      <c r="V17" s="23"/>
      <c r="W17" s="23"/>
      <c r="AA17" s="16"/>
      <c r="AB17" s="16"/>
      <c r="AC17" s="16"/>
      <c r="AD17" s="16"/>
      <c r="AE17" s="16"/>
      <c r="AF17" s="16"/>
    </row>
    <row r="18" spans="7:32" ht="22.5" customHeight="1" x14ac:dyDescent="0.25">
      <c r="G18" s="18"/>
      <c r="H18" s="18"/>
      <c r="L18" s="18"/>
      <c r="M18" s="18"/>
      <c r="N18" s="18"/>
      <c r="O18" s="20"/>
      <c r="P18" s="20"/>
      <c r="Q18" s="20"/>
      <c r="R18" s="22"/>
      <c r="S18" s="22"/>
      <c r="T18" s="22"/>
      <c r="U18" s="20"/>
      <c r="V18" s="20"/>
      <c r="W18" s="20"/>
      <c r="AA18" s="16"/>
      <c r="AB18" s="16"/>
      <c r="AC18" s="16"/>
      <c r="AD18" s="16"/>
      <c r="AE18" s="16"/>
      <c r="AF18" s="16"/>
    </row>
    <row r="19" spans="7:32" ht="22.5" customHeight="1" x14ac:dyDescent="0.25">
      <c r="G19" s="18"/>
      <c r="H19" s="18"/>
      <c r="L19" s="18"/>
      <c r="M19" s="18"/>
      <c r="N19" s="18"/>
      <c r="O19" s="20"/>
      <c r="P19" s="20"/>
      <c r="Q19" s="20"/>
      <c r="R19" s="22"/>
      <c r="S19" s="22"/>
      <c r="T19" s="22"/>
      <c r="U19" s="20"/>
      <c r="V19" s="20"/>
      <c r="W19" s="20"/>
      <c r="AD19" s="16"/>
      <c r="AE19" s="16"/>
      <c r="AF19" s="16"/>
    </row>
    <row r="20" spans="7:32" ht="22.5" customHeight="1" x14ac:dyDescent="0.25">
      <c r="G20" s="18"/>
      <c r="H20" s="18"/>
      <c r="I20" s="20"/>
      <c r="J20" s="20"/>
      <c r="K20" s="20"/>
      <c r="L20" s="18"/>
      <c r="M20" s="18"/>
      <c r="N20" s="18"/>
      <c r="O20" s="18"/>
      <c r="P20" s="18"/>
      <c r="Q20" s="18"/>
      <c r="R20" s="19"/>
      <c r="S20" s="19"/>
      <c r="T20" s="19"/>
      <c r="U20" s="18"/>
      <c r="V20" s="18"/>
      <c r="W20" s="18"/>
      <c r="AD20" s="16"/>
      <c r="AE20" s="16"/>
      <c r="AF20" s="16"/>
    </row>
    <row r="21" spans="7:32" ht="22.5" customHeight="1" x14ac:dyDescent="0.25">
      <c r="G21" s="18"/>
      <c r="H21" s="18"/>
      <c r="I21" s="20"/>
      <c r="J21" s="20"/>
      <c r="K21" s="20"/>
      <c r="L21" s="18"/>
      <c r="M21" s="18"/>
      <c r="N21" s="18"/>
      <c r="O21" s="18"/>
      <c r="P21" s="18"/>
      <c r="Q21" s="18"/>
      <c r="R21" s="19"/>
      <c r="S21" s="19"/>
      <c r="T21" s="19"/>
      <c r="U21" s="18"/>
      <c r="V21" s="18"/>
      <c r="W21" s="18"/>
    </row>
    <row r="25" spans="7:32" ht="22.5" customHeight="1" x14ac:dyDescent="0.25">
      <c r="L25" s="1">
        <f>I19+I20</f>
        <v>0</v>
      </c>
    </row>
  </sheetData>
  <mergeCells count="5">
    <mergeCell ref="A2:AG2"/>
    <mergeCell ref="A4:A10"/>
    <mergeCell ref="B4:AG4"/>
    <mergeCell ref="B9:AG9"/>
    <mergeCell ref="A11:B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25"/>
  <sheetViews>
    <sheetView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T5" sqref="AT5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20.28515625" style="1" customWidth="1"/>
    <col min="5" max="6" width="20.28515625" style="1" hidden="1" customWidth="1"/>
    <col min="7" max="7" width="20.28515625" style="1" customWidth="1"/>
    <col min="8" max="9" width="20.28515625" style="1" hidden="1" customWidth="1"/>
    <col min="10" max="10" width="20.28515625" style="1" customWidth="1"/>
    <col min="11" max="12" width="20.28515625" style="1" hidden="1" customWidth="1"/>
    <col min="13" max="13" width="20.28515625" style="1" customWidth="1"/>
    <col min="14" max="16" width="20.28515625" style="1" hidden="1" customWidth="1"/>
    <col min="17" max="17" width="20.28515625" style="1" customWidth="1"/>
    <col min="18" max="20" width="20.28515625" style="1" hidden="1" customWidth="1"/>
    <col min="21" max="21" width="20.28515625" style="1" customWidth="1"/>
    <col min="22" max="24" width="20.28515625" style="1" hidden="1" customWidth="1"/>
    <col min="25" max="25" width="20.28515625" style="15" customWidth="1"/>
    <col min="26" max="28" width="20.28515625" style="15" hidden="1" customWidth="1"/>
    <col min="29" max="29" width="20.28515625" style="1" customWidth="1"/>
    <col min="30" max="32" width="20.28515625" style="1" hidden="1" customWidth="1"/>
    <col min="33" max="33" width="20.28515625" style="1" customWidth="1"/>
    <col min="34" max="36" width="20.28515625" style="1" hidden="1" customWidth="1"/>
    <col min="37" max="37" width="20.28515625" style="1" customWidth="1"/>
    <col min="38" max="40" width="20.28515625" style="1" hidden="1" customWidth="1"/>
    <col min="41" max="41" width="20.28515625" style="1" customWidth="1"/>
    <col min="42" max="44" width="20.28515625" style="1" hidden="1" customWidth="1"/>
    <col min="45" max="45" width="20.28515625" style="1" customWidth="1"/>
    <col min="46" max="46" width="9.140625" style="18"/>
    <col min="47" max="16384" width="9.140625" style="1"/>
  </cols>
  <sheetData>
    <row r="2" spans="1:46" ht="42.75" customHeight="1" x14ac:dyDescent="0.25">
      <c r="A2" s="34" t="s">
        <v>32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</row>
    <row r="3" spans="1:46" s="2" customFormat="1" ht="33" customHeight="1" x14ac:dyDescent="0.25">
      <c r="A3" s="6" t="s">
        <v>0</v>
      </c>
      <c r="B3" s="7" t="s">
        <v>1</v>
      </c>
      <c r="C3" s="7"/>
      <c r="D3" s="8" t="s">
        <v>2</v>
      </c>
      <c r="E3" s="8"/>
      <c r="F3" s="8"/>
      <c r="G3" s="8" t="s">
        <v>3</v>
      </c>
      <c r="H3" s="8"/>
      <c r="I3" s="8"/>
      <c r="J3" s="8" t="s">
        <v>4</v>
      </c>
      <c r="K3" s="8"/>
      <c r="L3" s="8"/>
      <c r="M3" s="8" t="s">
        <v>5</v>
      </c>
      <c r="N3" s="8"/>
      <c r="O3" s="8"/>
      <c r="P3" s="8"/>
      <c r="Q3" s="8" t="s">
        <v>6</v>
      </c>
      <c r="R3" s="8"/>
      <c r="S3" s="8"/>
      <c r="T3" s="8"/>
      <c r="U3" s="8" t="s">
        <v>7</v>
      </c>
      <c r="V3" s="8"/>
      <c r="W3" s="8"/>
      <c r="X3" s="8"/>
      <c r="Y3" s="12" t="s">
        <v>8</v>
      </c>
      <c r="Z3" s="12"/>
      <c r="AA3" s="12"/>
      <c r="AB3" s="12"/>
      <c r="AC3" s="8" t="s">
        <v>9</v>
      </c>
      <c r="AD3" s="8"/>
      <c r="AE3" s="8"/>
      <c r="AF3" s="8"/>
      <c r="AG3" s="8" t="s">
        <v>10</v>
      </c>
      <c r="AH3" s="8"/>
      <c r="AI3" s="8"/>
      <c r="AJ3" s="8"/>
      <c r="AK3" s="8" t="s">
        <v>11</v>
      </c>
      <c r="AL3" s="8"/>
      <c r="AM3" s="8"/>
      <c r="AN3" s="8"/>
      <c r="AO3" s="8" t="s">
        <v>12</v>
      </c>
      <c r="AP3" s="8"/>
      <c r="AQ3" s="8"/>
      <c r="AR3" s="8"/>
      <c r="AS3" s="8" t="s">
        <v>13</v>
      </c>
      <c r="AT3" s="26"/>
    </row>
    <row r="4" spans="1:46" ht="22.5" customHeight="1" x14ac:dyDescent="0.25">
      <c r="A4" s="38" t="s">
        <v>30</v>
      </c>
      <c r="B4" s="35" t="s">
        <v>17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7"/>
    </row>
    <row r="5" spans="1:46" ht="22.5" customHeight="1" x14ac:dyDescent="0.25">
      <c r="A5" s="39"/>
      <c r="B5" s="5" t="s">
        <v>14</v>
      </c>
      <c r="C5" s="5">
        <v>1.0531882596919993</v>
      </c>
      <c r="D5" s="3">
        <v>10469105.680000002</v>
      </c>
      <c r="E5" s="3"/>
      <c r="F5" s="3">
        <v>0.86102801460818634</v>
      </c>
      <c r="G5" s="3">
        <v>9010863.6799999997</v>
      </c>
      <c r="H5" s="3">
        <f>'[3]РУС_Став. опт согл с ржд по МВИ'!$J$238+[4]РОЗНИЦА!$J$213</f>
        <v>9010863.6799999997</v>
      </c>
      <c r="I5" s="3">
        <f>'[3]РУС_Став. опт согл с ржд по МВИ'!$J$238+[4]РОЗНИЦА!$J$213</f>
        <v>9010863.6799999997</v>
      </c>
      <c r="J5" s="3">
        <v>10399181</v>
      </c>
      <c r="K5" s="3">
        <f>'[5]РУС_Став. опт согл с ржд по МВИ'!$J$256+'[6]РОЗНИЦА ОБЩИЙ'!$U$216</f>
        <v>10399181</v>
      </c>
      <c r="L5" s="3">
        <f>'[5]РУС_Став. опт согл с ржд по МВИ'!$J$256+'[6]РОЗНИЦА ОБЩИЙ'!$U$216</f>
        <v>10399181</v>
      </c>
      <c r="M5" s="3">
        <v>8857810.3200000022</v>
      </c>
      <c r="N5" s="3">
        <f>'[7]РУС_Став. опт согл с ржд по МВИ'!$J$274+[8]РОЗНИЦА!$J$218</f>
        <v>8857810.3200000022</v>
      </c>
      <c r="O5" s="3">
        <f>'[7]РУС_Став. опт согл с ржд по МВИ'!$J$274+[8]РОЗНИЦА!$J$218</f>
        <v>8857810.3200000022</v>
      </c>
      <c r="P5" s="3">
        <f>'[7]РУС_Став. опт согл с ржд по МВИ'!$J$274+[8]РОЗНИЦА!$J$218</f>
        <v>8857810.3200000022</v>
      </c>
      <c r="Q5" s="3">
        <v>8872033.2799999975</v>
      </c>
      <c r="R5" s="3">
        <f>'[9]РУС_Став. опт согл с ржд по МВИ'!$J$236+[10]РОЗНИЦА!$J$214</f>
        <v>8872033.2799999975</v>
      </c>
      <c r="S5" s="3">
        <f>'[9]РУС_Став. опт согл с ржд по МВИ'!$J$236+[10]РОЗНИЦА!$J$214</f>
        <v>8872033.2799999975</v>
      </c>
      <c r="T5" s="3">
        <f>'[9]РУС_Став. опт согл с ржд по МВИ'!$J$236+[10]РОЗНИЦА!$J$214</f>
        <v>8872033.2799999975</v>
      </c>
      <c r="U5" s="3">
        <v>9656572.7200000007</v>
      </c>
      <c r="V5" s="3">
        <f>[11]РОЗНИЦА!$J$215+'[12]РУС_Став. опт согл с ржд по МВИ'!$J$238</f>
        <v>9656572.7200000007</v>
      </c>
      <c r="W5" s="3">
        <f>[11]РОЗНИЦА!$J$215+'[12]РУС_Став. опт согл с ржд по МВИ'!$J$238</f>
        <v>9656572.7200000007</v>
      </c>
      <c r="X5" s="3">
        <f>[11]РОЗНИЦА!$J$215+'[12]РУС_Став. опт согл с ржд по МВИ'!$J$238</f>
        <v>9656572.7200000007</v>
      </c>
      <c r="Y5" s="3">
        <v>9666983.4000000022</v>
      </c>
      <c r="Z5" s="3">
        <f>[13]РОЗНИЦА!$J$217+'[14]РУС_Став. опт согл с ржд по МВИ'!$J$245</f>
        <v>9666983.4000000022</v>
      </c>
      <c r="AA5" s="3">
        <f>[13]РОЗНИЦА!$J$217+'[14]РУС_Став. опт согл с ржд по МВИ'!$J$245</f>
        <v>9666983.4000000022</v>
      </c>
      <c r="AB5" s="3">
        <f>[13]РОЗНИЦА!$J$217+'[14]РУС_Став. опт согл с ржд по МВИ'!$J$245</f>
        <v>9666983.4000000022</v>
      </c>
      <c r="AC5" s="3">
        <v>9316375.5599999968</v>
      </c>
      <c r="AD5" s="3">
        <f>[15]РОЗНИЦА!$J$217+'[16]РУС_Став. опт согл с ржд по МВИ'!$J$247</f>
        <v>9316375.5599999968</v>
      </c>
      <c r="AE5" s="3">
        <f>[15]РОЗНИЦА!$J$217+'[16]РУС_Став. опт согл с ржд по МВИ'!$J$247</f>
        <v>9316375.5599999968</v>
      </c>
      <c r="AF5" s="3">
        <f>[15]РОЗНИЦА!$J$217+'[16]РУС_Став. опт согл с ржд по МВИ'!$J$247</f>
        <v>9316375.5599999968</v>
      </c>
      <c r="AG5" s="3">
        <v>8607304.6799999997</v>
      </c>
      <c r="AH5" s="3">
        <f>'[17]РУС_Став. опт согл с ржд по МВИ'!$J$251+[18]РОЗНИЦА!$J$218</f>
        <v>8607304.6799999997</v>
      </c>
      <c r="AI5" s="3">
        <f>'[17]РУС_Став. опт согл с ржд по МВИ'!$J$251+[18]РОЗНИЦА!$J$218</f>
        <v>8607304.6799999997</v>
      </c>
      <c r="AJ5" s="3">
        <f>'[17]РУС_Став. опт согл с ржд по МВИ'!$J$251+[18]РОЗНИЦА!$J$218</f>
        <v>8607304.6799999997</v>
      </c>
      <c r="AK5" s="3">
        <v>9208954</v>
      </c>
      <c r="AL5" s="3">
        <f>'[19]РУС_Став. опт согл с ржд по МВИ'!$J$253+'[20]ИА РОЗНИЦА копируем'!$J$220</f>
        <v>9208954</v>
      </c>
      <c r="AM5" s="3">
        <f>'[19]РУС_Став. опт согл с ржд по МВИ'!$J$253+'[20]ИА РОЗНИЦА копируем'!$J$220</f>
        <v>9208954</v>
      </c>
      <c r="AN5" s="3">
        <f>'[19]РУС_Став. опт согл с ржд по МВИ'!$J$253+'[20]ИА РОЗНИЦА копируем'!$J$220</f>
        <v>9208954</v>
      </c>
      <c r="AO5" s="3">
        <v>9186001</v>
      </c>
      <c r="AP5" s="3">
        <f>'[21]РУС_Став. опт согл с ржд по МВИ'!$J$253+'[22]ИА РОЗНИЦА копируем'!$J$222</f>
        <v>9186001</v>
      </c>
      <c r="AQ5" s="3">
        <f>'[21]РУС_Став. опт согл с ржд по МВИ'!$J$253+'[22]ИА РОЗНИЦА копируем'!$J$222</f>
        <v>9186001</v>
      </c>
      <c r="AR5" s="3">
        <f>'[21]РУС_Став. опт согл с ржд по МВИ'!$J$253+'[22]ИА РОЗНИЦА копируем'!$J$222</f>
        <v>9186001</v>
      </c>
      <c r="AS5" s="3">
        <v>10737030</v>
      </c>
    </row>
    <row r="6" spans="1:46" ht="22.5" customHeight="1" x14ac:dyDescent="0.25">
      <c r="A6" s="39"/>
      <c r="B6" s="5" t="s">
        <v>15</v>
      </c>
      <c r="C6" s="5">
        <v>1.2958203503243702</v>
      </c>
      <c r="D6" s="3">
        <v>625151</v>
      </c>
      <c r="E6" s="3"/>
      <c r="F6" s="3">
        <v>0.85724598872428048</v>
      </c>
      <c r="G6" s="3">
        <v>525547</v>
      </c>
      <c r="H6" s="3">
        <f>'[3]РУС_Став. опт согл с ржд по МВИ'!$J$239+'[3]РУС_Став. опт согл с ржд по МВИ'!$J$240+[4]РОЗНИЦА!$J$214</f>
        <v>525547</v>
      </c>
      <c r="I6" s="3">
        <f>'[3]РУС_Став. опт согл с ржд по МВИ'!$J$239+'[3]РУС_Став. опт согл с ржд по МВИ'!$J$240+[4]РОЗНИЦА!$J$214</f>
        <v>525547</v>
      </c>
      <c r="J6" s="3">
        <v>651893</v>
      </c>
      <c r="K6" s="3">
        <f>'[5]РУС_Став. опт согл с ржд по МВИ'!$J$257+'[5]РУС_Став. опт согл с ржд по МВИ'!$J$258+'[6]РОЗНИЦА ОБЩИЙ'!$J$217</f>
        <v>651893</v>
      </c>
      <c r="L6" s="3">
        <f>'[5]РУС_Став. опт согл с ржд по МВИ'!$J$257+'[5]РУС_Став. опт согл с ржд по МВИ'!$J$258+'[6]РОЗНИЦА ОБЩИЙ'!$J$217</f>
        <v>651893</v>
      </c>
      <c r="M6" s="3">
        <v>383103</v>
      </c>
      <c r="N6" s="3">
        <f>'[7]РУС_Став. опт согл с ржд по МВИ'!$J$275+'[7]РУС_Став. опт согл с ржд по МВИ'!$J$276+[8]РОЗНИЦА!$J$219</f>
        <v>383103</v>
      </c>
      <c r="O6" s="3">
        <f>'[7]РУС_Став. опт согл с ржд по МВИ'!$J$275+'[7]РУС_Став. опт согл с ржд по МВИ'!$J$276+[8]РОЗНИЦА!$J$219</f>
        <v>383103</v>
      </c>
      <c r="P6" s="3">
        <f>'[7]РУС_Став. опт согл с ржд по МВИ'!$J$275+'[7]РУС_Став. опт согл с ржд по МВИ'!$J$276+[8]РОЗНИЦА!$J$219</f>
        <v>383103</v>
      </c>
      <c r="Q6" s="3">
        <v>370888</v>
      </c>
      <c r="R6" s="3">
        <f>'[9]РУС_Став. опт согл с ржд по МВИ'!$J$237+'[9]РУС_Став. опт согл с ржд по МВИ'!$J$238+[10]РОЗНИЦА!$J$215</f>
        <v>370888</v>
      </c>
      <c r="S6" s="3">
        <f>'[9]РУС_Став. опт согл с ржд по МВИ'!$J$237+'[9]РУС_Став. опт согл с ржд по МВИ'!$J$238+[10]РОЗНИЦА!$J$215</f>
        <v>370888</v>
      </c>
      <c r="T6" s="3">
        <f>'[9]РУС_Став. опт согл с ржд по МВИ'!$J$237+'[9]РУС_Став. опт согл с ржд по МВИ'!$J$238+[10]РОЗНИЦА!$J$215</f>
        <v>370888</v>
      </c>
      <c r="U6" s="3">
        <v>426526</v>
      </c>
      <c r="V6" s="3">
        <f>[11]РОЗНИЦА!$J$216+'[12]РУС_Став. опт согл с ржд по МВИ'!$J$239+'[12]РУС_Став. опт согл с ржд по МВИ'!$J$240</f>
        <v>426526</v>
      </c>
      <c r="W6" s="3">
        <f>[11]РОЗНИЦА!$J$216+'[12]РУС_Став. опт согл с ржд по МВИ'!$J$239+'[12]РУС_Став. опт согл с ржд по МВИ'!$J$240</f>
        <v>426526</v>
      </c>
      <c r="X6" s="3">
        <f>[11]РОЗНИЦА!$J$216+'[12]РУС_Став. опт согл с ржд по МВИ'!$J$239+'[12]РУС_Став. опт согл с ржд по МВИ'!$J$240</f>
        <v>426526</v>
      </c>
      <c r="Y6" s="3">
        <v>314674</v>
      </c>
      <c r="Z6" s="3">
        <f>[13]РОЗНИЦА!$J$218+'[14]РУС_Став. опт согл с ржд по МВИ'!$J$246+'[14]РУС_Став. опт согл с ржд по МВИ'!$J$247</f>
        <v>314674</v>
      </c>
      <c r="AA6" s="3">
        <f>[13]РОЗНИЦА!$J$218+'[14]РУС_Став. опт согл с ржд по МВИ'!$J$246+'[14]РУС_Став. опт согл с ржд по МВИ'!$J$247</f>
        <v>314674</v>
      </c>
      <c r="AB6" s="3">
        <f>[13]РОЗНИЦА!$J$218+'[14]РУС_Став. опт согл с ржд по МВИ'!$J$246+'[14]РУС_Став. опт согл с ржд по МВИ'!$J$247</f>
        <v>314674</v>
      </c>
      <c r="AC6" s="3">
        <v>385911</v>
      </c>
      <c r="AD6" s="3">
        <f>[15]РОЗНИЦА!$J$218+'[16]РУС_Став. опт согл с ржд по МВИ'!$J$248+'[16]РУС_Став. опт согл с ржд по МВИ'!$J$249</f>
        <v>385911</v>
      </c>
      <c r="AE6" s="3">
        <f>[15]РОЗНИЦА!$J$218+'[16]РУС_Став. опт согл с ржд по МВИ'!$J$248+'[16]РУС_Став. опт согл с ржд по МВИ'!$J$249</f>
        <v>385911</v>
      </c>
      <c r="AF6" s="3">
        <f>[15]РОЗНИЦА!$J$218+'[16]РУС_Став. опт согл с ржд по МВИ'!$J$248+'[16]РУС_Став. опт согл с ржд по МВИ'!$J$249</f>
        <v>385911</v>
      </c>
      <c r="AG6" s="3">
        <v>304754</v>
      </c>
      <c r="AH6" s="3">
        <f>'[17]РУС_Став. опт согл с ржд по МВИ'!$J$252+'[17]РУС_Став. опт согл с ржд по МВИ'!$J$253+[18]РОЗНИЦА!$J$219</f>
        <v>304754</v>
      </c>
      <c r="AI6" s="3">
        <f>'[17]РУС_Став. опт согл с ржд по МВИ'!$J$252+'[17]РУС_Став. опт согл с ржд по МВИ'!$J$253+[18]РОЗНИЦА!$J$219</f>
        <v>304754</v>
      </c>
      <c r="AJ6" s="3">
        <f>'[17]РУС_Став. опт согл с ржд по МВИ'!$J$252+'[17]РУС_Став. опт согл с ржд по МВИ'!$J$253+[18]РОЗНИЦА!$J$219</f>
        <v>304754</v>
      </c>
      <c r="AK6" s="3">
        <v>413808</v>
      </c>
      <c r="AL6" s="3">
        <f>'[19]РУС_Став. опт согл с ржд по МВИ'!$J$254+'[19]РУС_Став. опт согл с ржд по МВИ'!$J$255+'[20]ИА РОЗНИЦА копируем'!$J$221</f>
        <v>413808</v>
      </c>
      <c r="AM6" s="3">
        <f>'[19]РУС_Став. опт согл с ржд по МВИ'!$J$254+'[19]РУС_Став. опт согл с ржд по МВИ'!$J$255+'[20]ИА РОЗНИЦА копируем'!$J$221</f>
        <v>413808</v>
      </c>
      <c r="AN6" s="3">
        <f>'[19]РУС_Став. опт согл с ржд по МВИ'!$J$254+'[19]РУС_Став. опт согл с ржд по МВИ'!$J$255+'[20]ИА РОЗНИЦА копируем'!$J$221</f>
        <v>413808</v>
      </c>
      <c r="AO6" s="3">
        <v>455396</v>
      </c>
      <c r="AP6" s="3">
        <f>'[21]РУС_Став. опт согл с ржд по МВИ'!$J$254+'[21]РУС_Став. опт согл с ржд по МВИ'!$J$255+'[22]ИА РОЗНИЦА копируем'!$J$223</f>
        <v>455396</v>
      </c>
      <c r="AQ6" s="3">
        <f>'[21]РУС_Став. опт согл с ржд по МВИ'!$J$254+'[21]РУС_Став. опт согл с ржд по МВИ'!$J$255+'[22]ИА РОЗНИЦА копируем'!$J$223</f>
        <v>455396</v>
      </c>
      <c r="AR6" s="3">
        <f>'[21]РУС_Став. опт согл с ржд по МВИ'!$J$254+'[21]РУС_Став. опт согл с ржд по МВИ'!$J$255+'[22]ИА РОЗНИЦА копируем'!$J$223</f>
        <v>455396</v>
      </c>
      <c r="AS6" s="3">
        <v>630734</v>
      </c>
    </row>
    <row r="7" spans="1:46" ht="22.5" customHeight="1" x14ac:dyDescent="0.25">
      <c r="A7" s="39"/>
      <c r="B7" s="11" t="s">
        <v>25</v>
      </c>
      <c r="C7" s="11">
        <v>0.97905631598094878</v>
      </c>
      <c r="D7" s="3">
        <v>283796</v>
      </c>
      <c r="E7" s="3"/>
      <c r="F7" s="3">
        <v>0.84016390648330597</v>
      </c>
      <c r="G7" s="3">
        <v>230315</v>
      </c>
      <c r="H7" s="3">
        <f>[4]РОЗНИЦА!$J$215</f>
        <v>230315</v>
      </c>
      <c r="I7" s="3">
        <f>[4]РОЗНИЦА!$J$215</f>
        <v>230315</v>
      </c>
      <c r="J7" s="3">
        <v>274597</v>
      </c>
      <c r="K7" s="3">
        <f>'[6]РОЗНИЦА ОБЩИЙ'!$J$218</f>
        <v>274597</v>
      </c>
      <c r="L7" s="3">
        <f>'[6]РОЗНИЦА ОБЩИЙ'!$J$218</f>
        <v>274597</v>
      </c>
      <c r="M7" s="3">
        <v>164722</v>
      </c>
      <c r="N7" s="3">
        <f>[8]РОЗНИЦА!$J$220</f>
        <v>164722</v>
      </c>
      <c r="O7" s="3">
        <f>[8]РОЗНИЦА!$J$220</f>
        <v>164722</v>
      </c>
      <c r="P7" s="3">
        <f>[8]РОЗНИЦА!$J$220</f>
        <v>164722</v>
      </c>
      <c r="Q7" s="3">
        <v>149497</v>
      </c>
      <c r="R7" s="3">
        <f>[10]РОЗНИЦА!$J$216</f>
        <v>149497</v>
      </c>
      <c r="S7" s="3">
        <f>[10]РОЗНИЦА!$J$216</f>
        <v>149497</v>
      </c>
      <c r="T7" s="3">
        <f>[10]РОЗНИЦА!$J$216</f>
        <v>149497</v>
      </c>
      <c r="U7" s="3">
        <v>117293</v>
      </c>
      <c r="V7" s="3">
        <f>[11]РОЗНИЦА!$J$217</f>
        <v>117293</v>
      </c>
      <c r="W7" s="3">
        <f>[11]РОЗНИЦА!$J$217</f>
        <v>117293</v>
      </c>
      <c r="X7" s="3">
        <f>[11]РОЗНИЦА!$J$217</f>
        <v>117293</v>
      </c>
      <c r="Y7" s="3">
        <v>133803</v>
      </c>
      <c r="Z7" s="3">
        <f>[13]РОЗНИЦА!$J$219</f>
        <v>133803</v>
      </c>
      <c r="AA7" s="3">
        <f>[13]РОЗНИЦА!$J$219</f>
        <v>133803</v>
      </c>
      <c r="AB7" s="3">
        <f>[13]РОЗНИЦА!$J$219</f>
        <v>133803</v>
      </c>
      <c r="AC7" s="3">
        <v>139681</v>
      </c>
      <c r="AD7" s="3">
        <f>[15]РОЗНИЦА!$J$219</f>
        <v>139681</v>
      </c>
      <c r="AE7" s="3">
        <f>[15]РОЗНИЦА!$J$219</f>
        <v>139681</v>
      </c>
      <c r="AF7" s="3">
        <f>[15]РОЗНИЦА!$J$219</f>
        <v>139681</v>
      </c>
      <c r="AG7" s="3">
        <v>99295</v>
      </c>
      <c r="AH7" s="3">
        <f>[18]РОЗНИЦА!$J$220</f>
        <v>99295</v>
      </c>
      <c r="AI7" s="3">
        <f>[18]РОЗНИЦА!$J$220</f>
        <v>99295</v>
      </c>
      <c r="AJ7" s="3">
        <f>[18]РОЗНИЦА!$J$220</f>
        <v>99295</v>
      </c>
      <c r="AK7" s="3">
        <v>190950</v>
      </c>
      <c r="AL7" s="3">
        <f>'[20]ИА РОЗНИЦА копируем'!$J$222</f>
        <v>190950</v>
      </c>
      <c r="AM7" s="3">
        <f>'[20]ИА РОЗНИЦА копируем'!$J$222</f>
        <v>190950</v>
      </c>
      <c r="AN7" s="3">
        <f>'[20]ИА РОЗНИЦА копируем'!$J$222</f>
        <v>190950</v>
      </c>
      <c r="AO7" s="3">
        <v>207529</v>
      </c>
      <c r="AP7" s="3">
        <f>'[22]ИА РОЗНИЦА копируем'!$J$224</f>
        <v>207529</v>
      </c>
      <c r="AQ7" s="3">
        <f>'[22]ИА РОЗНИЦА копируем'!$J$224</f>
        <v>207529</v>
      </c>
      <c r="AR7" s="3">
        <f>'[22]ИА РОЗНИЦА копируем'!$J$224</f>
        <v>207529</v>
      </c>
      <c r="AS7" s="3">
        <v>281611</v>
      </c>
    </row>
    <row r="8" spans="1:46" ht="22.5" customHeight="1" x14ac:dyDescent="0.25">
      <c r="A8" s="39"/>
      <c r="B8" s="11" t="s">
        <v>26</v>
      </c>
      <c r="C8" s="11">
        <v>0.76371308016877637</v>
      </c>
      <c r="D8" s="3">
        <v>1813</v>
      </c>
      <c r="E8" s="3"/>
      <c r="F8" s="3">
        <v>0.81906077348066297</v>
      </c>
      <c r="G8" s="3">
        <v>1724</v>
      </c>
      <c r="H8" s="3">
        <f>[4]РОЗНИЦА!$J$216</f>
        <v>1724</v>
      </c>
      <c r="I8" s="3">
        <f>[4]РОЗНИЦА!$J$216</f>
        <v>1724</v>
      </c>
      <c r="J8" s="3">
        <v>1834</v>
      </c>
      <c r="K8" s="3">
        <f>'[6]РОЗНИЦА ОБЩИЙ'!$J$219</f>
        <v>1834</v>
      </c>
      <c r="L8" s="3">
        <f>'[6]РОЗНИЦА ОБЩИЙ'!$J$219</f>
        <v>1834</v>
      </c>
      <c r="M8" s="3">
        <v>1687</v>
      </c>
      <c r="N8" s="3">
        <f>[8]РОЗНИЦА!$J$221</f>
        <v>1687</v>
      </c>
      <c r="O8" s="3">
        <f>[8]РОЗНИЦА!$J$221</f>
        <v>1687</v>
      </c>
      <c r="P8" s="3">
        <f>[8]РОЗНИЦА!$J$221</f>
        <v>1687</v>
      </c>
      <c r="Q8" s="3">
        <v>1830</v>
      </c>
      <c r="R8" s="3">
        <f>[10]РОЗНИЦА!$J$217</f>
        <v>1830</v>
      </c>
      <c r="S8" s="3">
        <f>[10]РОЗНИЦА!$J$217</f>
        <v>1830</v>
      </c>
      <c r="T8" s="3">
        <f>[10]РОЗНИЦА!$J$217</f>
        <v>1830</v>
      </c>
      <c r="U8" s="3">
        <v>1513</v>
      </c>
      <c r="V8" s="3">
        <f>[11]РОЗНИЦА!$J$218</f>
        <v>1513</v>
      </c>
      <c r="W8" s="3">
        <f>[11]РОЗНИЦА!$J$218</f>
        <v>1513</v>
      </c>
      <c r="X8" s="3">
        <f>[11]РОЗНИЦА!$J$218</f>
        <v>1513</v>
      </c>
      <c r="Y8" s="3">
        <v>930</v>
      </c>
      <c r="Z8" s="3">
        <f>[13]РОЗНИЦА!$J$220</f>
        <v>930</v>
      </c>
      <c r="AA8" s="3">
        <f>[13]РОЗНИЦА!$J$220</f>
        <v>930</v>
      </c>
      <c r="AB8" s="3">
        <f>[13]РОЗНИЦА!$J$220</f>
        <v>930</v>
      </c>
      <c r="AC8" s="3">
        <v>2253</v>
      </c>
      <c r="AD8" s="3">
        <f>[15]РОЗНИЦА!$J$220</f>
        <v>2253</v>
      </c>
      <c r="AE8" s="3">
        <f>[15]РОЗНИЦА!$J$220</f>
        <v>2253</v>
      </c>
      <c r="AF8" s="3">
        <f>[15]РОЗНИЦА!$J$220</f>
        <v>2253</v>
      </c>
      <c r="AG8" s="3">
        <v>994</v>
      </c>
      <c r="AH8" s="3">
        <f>[18]РОЗНИЦА!$J$221</f>
        <v>994</v>
      </c>
      <c r="AI8" s="3">
        <f>[18]РОЗНИЦА!$J$221</f>
        <v>994</v>
      </c>
      <c r="AJ8" s="3">
        <f>[18]РОЗНИЦА!$J$221</f>
        <v>994</v>
      </c>
      <c r="AK8" s="3">
        <v>1481</v>
      </c>
      <c r="AL8" s="3">
        <f>'[20]ИА РОЗНИЦА копируем'!$J$223</f>
        <v>1481</v>
      </c>
      <c r="AM8" s="3">
        <f>'[20]ИА РОЗНИЦА копируем'!$J$223</f>
        <v>1481</v>
      </c>
      <c r="AN8" s="3">
        <f>'[20]ИА РОЗНИЦА копируем'!$J$223</f>
        <v>1481</v>
      </c>
      <c r="AO8" s="3">
        <v>1604</v>
      </c>
      <c r="AP8" s="3">
        <f>'[22]ИА РОЗНИЦА копируем'!$J$225</f>
        <v>1604</v>
      </c>
      <c r="AQ8" s="3">
        <f>'[22]ИА РОЗНИЦА копируем'!$J$225</f>
        <v>1604</v>
      </c>
      <c r="AR8" s="3">
        <f>'[22]ИА РОЗНИЦА копируем'!$J$225</f>
        <v>1604</v>
      </c>
      <c r="AS8" s="3">
        <v>2310</v>
      </c>
      <c r="AT8" s="24"/>
    </row>
    <row r="9" spans="1:46" ht="22.5" customHeight="1" x14ac:dyDescent="0.25">
      <c r="A9" s="39"/>
      <c r="B9" s="35" t="s">
        <v>18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7"/>
    </row>
    <row r="10" spans="1:46" ht="22.5" customHeight="1" x14ac:dyDescent="0.25">
      <c r="A10" s="39"/>
      <c r="B10" s="4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13"/>
      <c r="Z10" s="13"/>
      <c r="AA10" s="13"/>
      <c r="AB10" s="1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6" ht="22.5" customHeight="1" x14ac:dyDescent="0.25">
      <c r="A11" s="32" t="s">
        <v>16</v>
      </c>
      <c r="B11" s="33"/>
      <c r="C11" s="27"/>
      <c r="D11" s="9">
        <f t="shared" ref="D11:U11" si="0">SUM(D5:D8,D10)</f>
        <v>11379865.680000002</v>
      </c>
      <c r="E11" s="9"/>
      <c r="F11" s="9"/>
      <c r="G11" s="9">
        <f t="shared" si="0"/>
        <v>9768449.6799999997</v>
      </c>
      <c r="H11" s="9"/>
      <c r="I11" s="9"/>
      <c r="J11" s="9">
        <f t="shared" si="0"/>
        <v>11327505</v>
      </c>
      <c r="K11" s="9"/>
      <c r="L11" s="9"/>
      <c r="M11" s="17">
        <f t="shared" si="0"/>
        <v>9407322.3200000022</v>
      </c>
      <c r="N11" s="17"/>
      <c r="O11" s="17"/>
      <c r="P11" s="17"/>
      <c r="Q11" s="17">
        <f>SUM(Q5:Q8,Q10)</f>
        <v>9394248.2799999975</v>
      </c>
      <c r="R11" s="17"/>
      <c r="S11" s="17"/>
      <c r="T11" s="17"/>
      <c r="U11" s="17">
        <f t="shared" si="0"/>
        <v>10201904.720000001</v>
      </c>
      <c r="V11" s="17"/>
      <c r="W11" s="17"/>
      <c r="X11" s="17"/>
      <c r="Y11" s="17">
        <f>SUM(Y5:Y8,Y10)</f>
        <v>10116390.400000002</v>
      </c>
      <c r="Z11" s="17"/>
      <c r="AA11" s="17"/>
      <c r="AB11" s="17"/>
      <c r="AC11" s="17">
        <f>SUM(AC5:AC8,AC10)</f>
        <v>9844220.5599999968</v>
      </c>
      <c r="AD11" s="17"/>
      <c r="AE11" s="17"/>
      <c r="AF11" s="17"/>
      <c r="AG11" s="9">
        <f>SUM(AG5:AG8,AG10)</f>
        <v>9012347.6799999997</v>
      </c>
      <c r="AH11" s="9"/>
      <c r="AI11" s="9"/>
      <c r="AJ11" s="9"/>
      <c r="AK11" s="9">
        <f>SUM(AK5:AK8,AK10)</f>
        <v>9815193</v>
      </c>
      <c r="AL11" s="9"/>
      <c r="AM11" s="9"/>
      <c r="AN11" s="9"/>
      <c r="AO11" s="9">
        <f>SUM(AO5:AO8,AO10)</f>
        <v>9850530</v>
      </c>
      <c r="AP11" s="9"/>
      <c r="AQ11" s="9"/>
      <c r="AR11" s="9"/>
      <c r="AS11" s="9">
        <f>SUM(AS5:AS8,AS10)</f>
        <v>11651685</v>
      </c>
    </row>
    <row r="12" spans="1:46" ht="22.5" customHeight="1" x14ac:dyDescent="0.25"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4"/>
      <c r="Z12" s="14"/>
      <c r="AA12" s="14"/>
      <c r="AB12" s="14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</row>
    <row r="13" spans="1:46" ht="24" customHeight="1" x14ac:dyDescent="0.25">
      <c r="Y13" s="14"/>
      <c r="AC13" s="10"/>
      <c r="AO13" s="10"/>
      <c r="AS13" s="10"/>
    </row>
    <row r="14" spans="1:46" ht="22.5" customHeight="1" x14ac:dyDescent="0.25">
      <c r="D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U14" s="10"/>
      <c r="Y14" s="14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</row>
    <row r="15" spans="1:46" ht="22.5" customHeight="1" x14ac:dyDescent="0.25">
      <c r="D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U15" s="10"/>
      <c r="AC15" s="10"/>
      <c r="AD15" s="10"/>
      <c r="AE15" s="10"/>
      <c r="AF15" s="10"/>
      <c r="AG15" s="16"/>
      <c r="AH15" s="16"/>
      <c r="AI15" s="16"/>
      <c r="AJ15" s="16"/>
      <c r="AK15" s="16"/>
      <c r="AL15" s="16"/>
      <c r="AM15" s="16"/>
      <c r="AN15" s="16"/>
    </row>
    <row r="16" spans="1:46" ht="22.5" customHeight="1" x14ac:dyDescent="0.25">
      <c r="AC16" s="23"/>
      <c r="AD16" s="23"/>
      <c r="AE16" s="23"/>
      <c r="AF16" s="23"/>
      <c r="AG16" s="10"/>
      <c r="AH16" s="10"/>
      <c r="AI16" s="10"/>
      <c r="AJ16" s="10"/>
      <c r="AK16" s="16"/>
      <c r="AL16" s="16"/>
      <c r="AM16" s="16"/>
      <c r="AN16" s="16"/>
      <c r="AO16" s="16"/>
      <c r="AP16" s="16"/>
      <c r="AQ16" s="16"/>
      <c r="AR16" s="16"/>
    </row>
    <row r="17" spans="10:44" ht="22.5" customHeight="1" x14ac:dyDescent="0.25">
      <c r="J17" s="20"/>
      <c r="K17" s="20"/>
      <c r="L17" s="20"/>
      <c r="Q17" s="21"/>
      <c r="R17" s="21"/>
      <c r="S17" s="21"/>
      <c r="T17" s="21"/>
      <c r="Y17" s="22"/>
      <c r="Z17" s="22"/>
      <c r="AA17" s="22"/>
      <c r="AB17" s="22"/>
      <c r="AC17" s="23"/>
      <c r="AD17" s="23"/>
      <c r="AE17" s="23"/>
      <c r="AF17" s="23"/>
      <c r="AK17" s="16"/>
      <c r="AL17" s="16"/>
      <c r="AM17" s="16"/>
      <c r="AN17" s="16"/>
      <c r="AO17" s="16"/>
      <c r="AP17" s="16"/>
      <c r="AQ17" s="16"/>
      <c r="AR17" s="16"/>
    </row>
    <row r="18" spans="10:44" ht="22.5" customHeight="1" x14ac:dyDescent="0.25">
      <c r="J18" s="18"/>
      <c r="K18" s="18"/>
      <c r="L18" s="18"/>
      <c r="Q18" s="18"/>
      <c r="R18" s="18"/>
      <c r="S18" s="18"/>
      <c r="T18" s="18"/>
      <c r="U18" s="20"/>
      <c r="V18" s="20"/>
      <c r="W18" s="20"/>
      <c r="X18" s="20"/>
      <c r="Y18" s="22"/>
      <c r="Z18" s="22"/>
      <c r="AA18" s="22"/>
      <c r="AB18" s="22"/>
      <c r="AC18" s="20"/>
      <c r="AD18" s="20"/>
      <c r="AE18" s="20"/>
      <c r="AF18" s="20"/>
      <c r="AK18" s="16"/>
      <c r="AL18" s="16"/>
      <c r="AM18" s="16"/>
      <c r="AN18" s="16"/>
      <c r="AO18" s="16"/>
      <c r="AP18" s="16"/>
      <c r="AQ18" s="16"/>
      <c r="AR18" s="16"/>
    </row>
    <row r="19" spans="10:44" ht="22.5" customHeight="1" x14ac:dyDescent="0.25">
      <c r="J19" s="18"/>
      <c r="K19" s="18"/>
      <c r="L19" s="18"/>
      <c r="Q19" s="18"/>
      <c r="R19" s="18"/>
      <c r="S19" s="18"/>
      <c r="T19" s="18"/>
      <c r="U19" s="20"/>
      <c r="V19" s="20"/>
      <c r="W19" s="20"/>
      <c r="X19" s="20"/>
      <c r="Y19" s="22"/>
      <c r="Z19" s="22"/>
      <c r="AA19" s="22"/>
      <c r="AB19" s="22"/>
      <c r="AC19" s="20"/>
      <c r="AD19" s="20"/>
      <c r="AE19" s="20"/>
      <c r="AF19" s="20"/>
      <c r="AO19" s="16"/>
      <c r="AP19" s="16"/>
      <c r="AQ19" s="16"/>
      <c r="AR19" s="16"/>
    </row>
    <row r="20" spans="10:44" ht="22.5" customHeight="1" x14ac:dyDescent="0.25">
      <c r="J20" s="18"/>
      <c r="K20" s="18"/>
      <c r="L20" s="18"/>
      <c r="M20" s="20"/>
      <c r="N20" s="20"/>
      <c r="O20" s="20"/>
      <c r="P20" s="20"/>
      <c r="Q20" s="18"/>
      <c r="R20" s="18"/>
      <c r="S20" s="18"/>
      <c r="T20" s="18"/>
      <c r="U20" s="18"/>
      <c r="V20" s="18"/>
      <c r="W20" s="18"/>
      <c r="X20" s="18"/>
      <c r="Y20" s="19"/>
      <c r="Z20" s="19"/>
      <c r="AA20" s="19"/>
      <c r="AB20" s="19"/>
      <c r="AC20" s="18"/>
      <c r="AD20" s="18"/>
      <c r="AE20" s="18"/>
      <c r="AF20" s="18"/>
      <c r="AO20" s="16"/>
      <c r="AP20" s="16"/>
      <c r="AQ20" s="16"/>
      <c r="AR20" s="16"/>
    </row>
    <row r="21" spans="10:44" ht="22.5" customHeight="1" x14ac:dyDescent="0.25">
      <c r="J21" s="18"/>
      <c r="K21" s="18"/>
      <c r="L21" s="18"/>
      <c r="M21" s="20"/>
      <c r="N21" s="20"/>
      <c r="O21" s="20"/>
      <c r="P21" s="20"/>
      <c r="Q21" s="18"/>
      <c r="R21" s="18"/>
      <c r="S21" s="18"/>
      <c r="T21" s="18"/>
      <c r="U21" s="18"/>
      <c r="V21" s="18"/>
      <c r="W21" s="18"/>
      <c r="X21" s="18"/>
      <c r="Y21" s="19"/>
      <c r="Z21" s="19"/>
      <c r="AA21" s="19"/>
      <c r="AB21" s="19"/>
      <c r="AC21" s="18"/>
      <c r="AD21" s="18"/>
      <c r="AE21" s="18"/>
      <c r="AF21" s="18"/>
    </row>
    <row r="22" spans="10:44" ht="23.25" customHeight="1" x14ac:dyDescent="0.25"/>
    <row r="23" spans="10:44" ht="19.5" customHeight="1" x14ac:dyDescent="0.25"/>
    <row r="24" spans="10:44" ht="20.25" customHeight="1" x14ac:dyDescent="0.25"/>
    <row r="25" spans="10:44" ht="22.5" customHeight="1" x14ac:dyDescent="0.25"/>
  </sheetData>
  <mergeCells count="5">
    <mergeCell ref="A2:AS2"/>
    <mergeCell ref="A4:A10"/>
    <mergeCell ref="B4:AS4"/>
    <mergeCell ref="B9:AS9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Сафронова Ольга Харитоновна</cp:lastModifiedBy>
  <dcterms:created xsi:type="dcterms:W3CDTF">2013-11-13T16:10:49Z</dcterms:created>
  <dcterms:modified xsi:type="dcterms:W3CDTF">2025-01-20T07:54:19Z</dcterms:modified>
</cp:coreProperties>
</file>