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\для сайта\_ТСО\по факту\"/>
    </mc:Choice>
  </mc:AlternateContent>
  <bookViews>
    <workbookView xWindow="13290" yWindow="-15" windowWidth="11805" windowHeight="11880" tabRatio="721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62913"/>
</workbook>
</file>

<file path=xl/calcChain.xml><?xml version="1.0" encoding="utf-8"?>
<calcChain xmlns="http://schemas.openxmlformats.org/spreadsheetml/2006/main">
  <c r="N18" i="16" l="1"/>
  <c r="M18" i="16"/>
  <c r="L18" i="16"/>
  <c r="K18" i="16"/>
  <c r="J18" i="16"/>
  <c r="I18" i="16"/>
  <c r="H18" i="16"/>
  <c r="G18" i="16"/>
  <c r="F18" i="16"/>
  <c r="E18" i="16"/>
  <c r="D18" i="16"/>
  <c r="C18" i="16"/>
  <c r="K18" i="15" l="1"/>
  <c r="N18" i="15"/>
  <c r="M18" i="15"/>
  <c r="L18" i="15"/>
  <c r="J18" i="15"/>
  <c r="I18" i="15"/>
  <c r="H18" i="15"/>
  <c r="G18" i="15"/>
  <c r="F18" i="15"/>
  <c r="E18" i="15"/>
  <c r="D18" i="15"/>
  <c r="AH14" i="13"/>
  <c r="AH13" i="13"/>
  <c r="AH10" i="13"/>
  <c r="AH8" i="13"/>
  <c r="AH7" i="13"/>
  <c r="AH6" i="13"/>
  <c r="AH5" i="13"/>
  <c r="C18" i="15" l="1"/>
  <c r="AS10" i="14"/>
  <c r="AS8" i="14"/>
  <c r="AO10" i="14" l="1"/>
  <c r="AO8" i="14"/>
  <c r="AK8" i="14" l="1"/>
  <c r="AK10" i="14"/>
  <c r="AG8" i="14" l="1"/>
  <c r="AG10" i="14"/>
  <c r="AC10" i="14" l="1"/>
  <c r="AC8" i="14"/>
  <c r="Y10" i="14" l="1"/>
  <c r="Y8" i="14"/>
  <c r="U10" i="14" l="1"/>
  <c r="U8" i="14"/>
  <c r="Q10" i="14" l="1"/>
  <c r="Q8" i="14"/>
  <c r="Q7" i="14" l="1"/>
  <c r="Q6" i="14"/>
  <c r="Q5" i="14"/>
  <c r="M10" i="14" l="1"/>
  <c r="M8" i="14"/>
  <c r="M7" i="14" l="1"/>
  <c r="M6" i="14"/>
  <c r="M5" i="14"/>
  <c r="J10" i="14" l="1"/>
  <c r="J8" i="14"/>
  <c r="J7" i="14" l="1"/>
  <c r="J6" i="14"/>
  <c r="J5" i="14"/>
  <c r="G10" i="14" l="1"/>
  <c r="G8" i="14"/>
  <c r="G7" i="14" l="1"/>
  <c r="G6" i="14"/>
  <c r="G5" i="14"/>
  <c r="G14" i="14"/>
  <c r="G13" i="14"/>
  <c r="D10" i="14" l="1"/>
  <c r="D8" i="14"/>
  <c r="D7" i="14" l="1"/>
  <c r="D6" i="14"/>
  <c r="D5" i="14"/>
  <c r="W14" i="12" l="1"/>
  <c r="W13" i="12"/>
  <c r="W10" i="12"/>
  <c r="W8" i="12"/>
  <c r="W7" i="12"/>
  <c r="W6" i="12"/>
  <c r="W5" i="12"/>
  <c r="AS18" i="14"/>
  <c r="AO18" i="14"/>
  <c r="AK18" i="14"/>
  <c r="AG18" i="14"/>
  <c r="AC18" i="14"/>
  <c r="Y18" i="14"/>
  <c r="U18" i="14"/>
  <c r="Q18" i="14"/>
  <c r="M18" i="14"/>
  <c r="J18" i="14"/>
  <c r="G18" i="14"/>
  <c r="AG10" i="13" l="1"/>
  <c r="AG8" i="13"/>
  <c r="AG7" i="13" l="1"/>
  <c r="AG6" i="13"/>
  <c r="AG5" i="13"/>
  <c r="D18" i="14" s="1"/>
  <c r="AD10" i="13" l="1"/>
  <c r="AD8" i="13"/>
  <c r="AD7" i="13"/>
  <c r="AD6" i="13"/>
  <c r="AD5" i="13"/>
  <c r="AA10" i="13"/>
  <c r="AA8" i="13"/>
  <c r="AA7" i="13"/>
  <c r="AA6" i="13"/>
  <c r="AA5" i="13"/>
  <c r="X10" i="13"/>
  <c r="U10" i="13"/>
  <c r="X8" i="13"/>
  <c r="U8" i="13"/>
  <c r="X7" i="13"/>
  <c r="X6" i="13"/>
  <c r="X5" i="13"/>
  <c r="U7" i="13"/>
  <c r="U6" i="13"/>
  <c r="U5" i="13"/>
  <c r="R10" i="13"/>
  <c r="R8" i="13"/>
  <c r="R7" i="13"/>
  <c r="R6" i="13"/>
  <c r="R5" i="13"/>
  <c r="O8" i="13"/>
  <c r="O10" i="13"/>
  <c r="O7" i="13"/>
  <c r="O6" i="13"/>
  <c r="O5" i="13"/>
  <c r="L10" i="13"/>
  <c r="I10" i="13"/>
  <c r="L8" i="13"/>
  <c r="L7" i="13"/>
  <c r="L6" i="13"/>
  <c r="L5" i="13"/>
  <c r="I8" i="13"/>
  <c r="I7" i="13"/>
  <c r="I6" i="13"/>
  <c r="I5" i="13"/>
  <c r="G10" i="13"/>
  <c r="G8" i="13"/>
  <c r="G7" i="13"/>
  <c r="G6" i="13"/>
  <c r="G5" i="13"/>
  <c r="E10" i="13"/>
  <c r="E8" i="13"/>
  <c r="E7" i="13"/>
  <c r="E6" i="13"/>
  <c r="E5" i="13"/>
  <c r="C10" i="13"/>
  <c r="C8" i="13"/>
  <c r="C7" i="13"/>
  <c r="C6" i="13"/>
  <c r="C5" i="13"/>
  <c r="C14" i="13"/>
  <c r="C13" i="13"/>
  <c r="AA18" i="13"/>
  <c r="X18" i="13"/>
  <c r="L18" i="13"/>
  <c r="C18" i="13"/>
  <c r="U18" i="13"/>
  <c r="R18" i="13"/>
  <c r="O18" i="13"/>
  <c r="I18" i="13"/>
  <c r="G18" i="13"/>
  <c r="E18" i="13"/>
  <c r="V10" i="12"/>
  <c r="V8" i="12"/>
  <c r="V7" i="12"/>
  <c r="V6" i="12"/>
  <c r="V5" i="12"/>
  <c r="T10" i="12"/>
  <c r="R8" i="12"/>
  <c r="T8" i="12"/>
  <c r="O14" i="11"/>
  <c r="O13" i="11"/>
  <c r="O10" i="11"/>
  <c r="O8" i="11"/>
  <c r="O7" i="11"/>
  <c r="O6" i="11"/>
  <c r="O5" i="11"/>
  <c r="T7" i="12"/>
  <c r="T6" i="12"/>
  <c r="T5" i="12"/>
  <c r="R10" i="12"/>
  <c r="P10" i="12"/>
  <c r="P8" i="12"/>
  <c r="P7" i="12"/>
  <c r="P6" i="12"/>
  <c r="P5" i="12"/>
  <c r="N10" i="12"/>
  <c r="N8" i="12"/>
  <c r="N7" i="12"/>
  <c r="N6" i="12"/>
  <c r="N5" i="12"/>
  <c r="L10" i="12"/>
  <c r="L8" i="12"/>
  <c r="L7" i="12"/>
  <c r="L6" i="12"/>
  <c r="L5" i="12"/>
  <c r="J10" i="12"/>
  <c r="J8" i="12"/>
  <c r="J7" i="12"/>
  <c r="J6" i="12"/>
  <c r="J5" i="12"/>
  <c r="H10" i="12"/>
  <c r="F10" i="12"/>
  <c r="H8" i="12"/>
  <c r="F8" i="12"/>
  <c r="H14" i="12"/>
  <c r="H13" i="12"/>
  <c r="H7" i="12"/>
  <c r="H6" i="12"/>
  <c r="H5" i="12"/>
  <c r="C7" i="12"/>
  <c r="C6" i="12"/>
  <c r="D7" i="12"/>
  <c r="D6" i="12"/>
  <c r="E7" i="12"/>
  <c r="E6" i="12"/>
  <c r="F7" i="12"/>
  <c r="F6" i="12"/>
  <c r="F5" i="12"/>
  <c r="E10" i="12"/>
  <c r="E8" i="12"/>
  <c r="D8" i="12"/>
  <c r="E5" i="12"/>
  <c r="D10" i="12"/>
  <c r="C10" i="12"/>
  <c r="D5" i="12"/>
  <c r="Q10" i="11"/>
  <c r="Q13" i="11"/>
  <c r="Q14" i="11"/>
  <c r="C8" i="12"/>
  <c r="C14" i="12"/>
  <c r="C13" i="12"/>
  <c r="C5" i="12"/>
  <c r="V18" i="12"/>
  <c r="T18" i="12"/>
  <c r="R18" i="12"/>
  <c r="P18" i="12"/>
  <c r="N18" i="12"/>
  <c r="L18" i="12"/>
  <c r="J18" i="12"/>
  <c r="H18" i="12"/>
  <c r="F18" i="12"/>
  <c r="E18" i="12"/>
  <c r="D18" i="12"/>
  <c r="C18" i="12"/>
  <c r="N10" i="11"/>
  <c r="N8" i="11"/>
  <c r="N7" i="11"/>
  <c r="N6" i="11"/>
  <c r="N5" i="11"/>
  <c r="M13" i="11"/>
  <c r="M14" i="11"/>
  <c r="M10" i="11"/>
  <c r="M8" i="11"/>
  <c r="M7" i="11"/>
  <c r="M6" i="11"/>
  <c r="M5" i="11"/>
  <c r="L10" i="11"/>
  <c r="L8" i="11"/>
  <c r="L14" i="11"/>
  <c r="L13" i="11"/>
  <c r="L7" i="11"/>
  <c r="L6" i="11"/>
  <c r="L5" i="11"/>
  <c r="K10" i="11"/>
  <c r="K8" i="11"/>
  <c r="K14" i="11"/>
  <c r="K13" i="11"/>
  <c r="K7" i="11"/>
  <c r="K6" i="11"/>
  <c r="K5" i="11"/>
  <c r="J10" i="11"/>
  <c r="J8" i="11"/>
  <c r="J14" i="11"/>
  <c r="J13" i="11"/>
  <c r="J7" i="11"/>
  <c r="J6" i="11"/>
  <c r="J5" i="11"/>
  <c r="I8" i="11"/>
  <c r="I10" i="11"/>
  <c r="I7" i="11"/>
  <c r="I6" i="11"/>
  <c r="I5" i="11"/>
  <c r="I14" i="11"/>
  <c r="I13" i="11"/>
  <c r="H10" i="11"/>
  <c r="H8" i="11"/>
  <c r="H14" i="11"/>
  <c r="H13" i="11"/>
  <c r="H7" i="11"/>
  <c r="H6" i="11"/>
  <c r="H5" i="11"/>
  <c r="E8" i="11"/>
  <c r="D8" i="11"/>
  <c r="F8" i="11"/>
  <c r="G8" i="11"/>
  <c r="G10" i="11"/>
  <c r="E10" i="11"/>
  <c r="G7" i="11"/>
  <c r="G6" i="11"/>
  <c r="G5" i="11"/>
  <c r="F7" i="11"/>
  <c r="F6" i="11"/>
  <c r="F5" i="11"/>
  <c r="E5" i="11"/>
  <c r="E6" i="11"/>
  <c r="E7" i="11"/>
  <c r="D10" i="11"/>
  <c r="D7" i="11"/>
  <c r="D5" i="11"/>
  <c r="D6" i="11"/>
  <c r="C10" i="11"/>
  <c r="C7" i="11"/>
  <c r="C8" i="11"/>
  <c r="C6" i="11"/>
  <c r="C5" i="11"/>
  <c r="M18" i="11"/>
  <c r="K18" i="11"/>
  <c r="I18" i="11"/>
  <c r="G18" i="11"/>
  <c r="E18" i="11"/>
  <c r="H18" i="11"/>
  <c r="F18" i="11"/>
  <c r="N18" i="11"/>
  <c r="L18" i="11"/>
  <c r="J18" i="11"/>
  <c r="N7" i="10"/>
  <c r="N10" i="10"/>
  <c r="N14" i="10"/>
  <c r="N13" i="10"/>
  <c r="N8" i="10"/>
  <c r="N6" i="10"/>
  <c r="N5" i="10"/>
  <c r="M8" i="10"/>
  <c r="M7" i="10"/>
  <c r="M6" i="10"/>
  <c r="M5" i="10"/>
  <c r="L10" i="10"/>
  <c r="L8" i="10"/>
  <c r="L7" i="10"/>
  <c r="L6" i="10"/>
  <c r="L5" i="10"/>
  <c r="K10" i="10"/>
  <c r="K8" i="10"/>
  <c r="K7" i="10"/>
  <c r="K6" i="10"/>
  <c r="K5" i="10"/>
  <c r="J10" i="10"/>
  <c r="J8" i="10"/>
  <c r="J7" i="10"/>
  <c r="J6" i="10"/>
  <c r="J5" i="10"/>
  <c r="I10" i="10"/>
  <c r="I8" i="10"/>
  <c r="I7" i="10"/>
  <c r="I6" i="10"/>
  <c r="I5" i="10"/>
  <c r="C10" i="10"/>
  <c r="D10" i="10"/>
  <c r="E10" i="10"/>
  <c r="F10" i="10"/>
  <c r="H10" i="10"/>
  <c r="G10" i="10"/>
  <c r="M18" i="10"/>
  <c r="K18" i="10"/>
  <c r="H18" i="10"/>
  <c r="G18" i="10"/>
  <c r="F18" i="10"/>
  <c r="C18" i="10"/>
  <c r="L8" i="9"/>
  <c r="L7" i="9"/>
  <c r="L6" i="9"/>
  <c r="L5" i="9"/>
  <c r="J18" i="9"/>
  <c r="I18" i="9"/>
  <c r="G18" i="9"/>
  <c r="N18" i="9"/>
  <c r="M18" i="9"/>
  <c r="L18" i="9"/>
  <c r="K18" i="9"/>
  <c r="H18" i="9"/>
  <c r="F18" i="9"/>
  <c r="D18" i="9"/>
  <c r="C18" i="9"/>
  <c r="E18" i="9"/>
  <c r="G18" i="8"/>
  <c r="E10" i="8"/>
  <c r="D18" i="8"/>
  <c r="E18" i="8"/>
  <c r="F18" i="8"/>
  <c r="H18" i="8"/>
  <c r="I18" i="8"/>
  <c r="J18" i="8"/>
  <c r="K18" i="8"/>
  <c r="L18" i="8"/>
  <c r="M18" i="8"/>
  <c r="N18" i="8"/>
  <c r="C18" i="8"/>
  <c r="N10" i="7"/>
  <c r="N8" i="7"/>
  <c r="N7" i="7"/>
  <c r="N6" i="7"/>
  <c r="N5" i="7"/>
  <c r="N25" i="7"/>
  <c r="M25" i="7"/>
  <c r="D25" i="7"/>
  <c r="E25" i="7"/>
  <c r="F25" i="7"/>
  <c r="G25" i="7"/>
  <c r="H25" i="7"/>
  <c r="C25" i="7"/>
  <c r="L25" i="7"/>
  <c r="K25" i="7"/>
  <c r="J10" i="7"/>
  <c r="J25" i="7"/>
  <c r="I10" i="7"/>
  <c r="I25" i="7"/>
  <c r="C11" i="6"/>
  <c r="C12" i="6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N11" i="5"/>
  <c r="N12" i="5"/>
  <c r="M11" i="5"/>
  <c r="M12" i="5"/>
  <c r="L11" i="5"/>
  <c r="L12" i="5"/>
  <c r="K11" i="5"/>
  <c r="K12" i="5"/>
  <c r="J11" i="5"/>
  <c r="J12" i="5"/>
  <c r="I11" i="5"/>
  <c r="I12" i="5"/>
  <c r="H11" i="5"/>
  <c r="H12" i="5"/>
  <c r="G11" i="5"/>
  <c r="G12" i="5"/>
  <c r="F11" i="5"/>
  <c r="F12" i="5"/>
  <c r="E11" i="5"/>
  <c r="E12" i="5"/>
  <c r="D11" i="5"/>
  <c r="D12" i="5"/>
  <c r="C11" i="5"/>
  <c r="C12" i="5"/>
  <c r="E18" i="10"/>
  <c r="D18" i="10"/>
  <c r="Q5" i="11" l="1"/>
  <c r="Q7" i="11"/>
  <c r="L18" i="10"/>
  <c r="Q8" i="11"/>
  <c r="D18" i="11"/>
  <c r="I18" i="10"/>
  <c r="N18" i="10"/>
  <c r="Q6" i="11"/>
  <c r="J18" i="10"/>
  <c r="C18" i="11"/>
  <c r="AD18" i="13"/>
  <c r="AG18" i="13"/>
</calcChain>
</file>

<file path=xl/comments1.xml><?xml version="1.0" encoding="utf-8"?>
<comments xmlns="http://schemas.openxmlformats.org/spreadsheetml/2006/main">
  <authors>
    <author>Ермакова Наталья Юрьевна</author>
  </authors>
  <commentList>
    <comment ref="U8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объемы от филиала, ДЭ АЭС № ….6001, Т.Смекалова будет присылать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Ермакова Наталья Юрьевна:</t>
        </r>
        <r>
          <rPr>
            <sz val="9"/>
            <color indexed="81"/>
            <rFont val="Tahoma"/>
            <family val="2"/>
            <charset val="204"/>
          </rPr>
          <t xml:space="preserve">
плюс объемы от филиала, ДЭ АЭС № ….6001, Т.Смекалова будет присылать</t>
        </r>
      </text>
    </comment>
  </commentList>
</comments>
</file>

<file path=xl/sharedStrings.xml><?xml version="1.0" encoding="utf-8"?>
<sst xmlns="http://schemas.openxmlformats.org/spreadsheetml/2006/main" count="331" uniqueCount="39">
  <si>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</si>
  <si>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</si>
  <si>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</si>
  <si>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</si>
  <si>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</si>
  <si>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</si>
  <si>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</si>
  <si>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</si>
  <si>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</si>
  <si>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</si>
  <si>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</si>
  <si>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</si>
  <si>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</si>
  <si>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</si>
  <si>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</si>
  <si>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</si>
  <si>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</si>
  <si>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</si>
  <si>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</si>
  <si>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ОАО "МРСК Северо-Запада" "Колэнерго"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</si>
  <si>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</si>
  <si>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</si>
  <si>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2015 год</t>
  </si>
  <si>
    <t>Прочие потребители, кВт*ч</t>
  </si>
  <si>
    <t>Население, кВт*ч</t>
  </si>
  <si>
    <t>АО "МОЭСК"</t>
  </si>
  <si>
    <t>ОАО "Оборонэнерго"</t>
  </si>
  <si>
    <t>МУП "АЭСК"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</si>
  <si>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2016 год</t>
  </si>
  <si>
    <t>ПАО "МРСК Северо-Запада" "Колэнерго"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</si>
  <si>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</si>
  <si>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</si>
  <si>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</si>
  <si>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2020 год</t>
  </si>
  <si>
    <t>Мурманский филиал ПАО "МРСК Северо-Запада" - "Колэнерго"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</si>
  <si>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</si>
  <si>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</si>
  <si>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</si>
  <si>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Мурманской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</si>
</sst>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/>
    <xf numFmtId="3" fontId="2" fillId="0" borderId="4" xfId="0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9" xfId="0" applyNumberFormat="1" applyFont="1" applyBorder="1" applyAlignment="1">
      <alignment horizontal="center" vertical="center" wrapText="1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 vertical="center"/>
    </xf>
    <xf numFmtId="3" fontId="2" fillId="0" borderId="11" xfId="0" applyNumberFormat="1" applyFont="1" applyBorder="1"/>
    <xf numFmtId="3" fontId="2" fillId="0" borderId="1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 applyAlignment="1">
      <alignment vertical="center" wrapText="1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4" fillId="0" borderId="5" xfId="0" applyNumberFormat="1" applyFont="1" applyBorder="1" applyAlignment="1">
      <alignment horizontal="center" vertical="center"/>
    </xf>
    <xf numFmtId="164" fontId="4" fillId="0" borderId="0" xfId="1" applyFont="1"/>
    <xf numFmtId="3" fontId="4" fillId="0" borderId="3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/>
    <xf numFmtId="3" fontId="4" fillId="2" borderId="4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/>
    <xf numFmtId="3" fontId="4" fillId="2" borderId="5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64" fontId="4" fillId="2" borderId="0" xfId="1" applyFont="1" applyFill="1"/>
    <xf numFmtId="3" fontId="4" fillId="2" borderId="0" xfId="0" applyNumberFormat="1" applyFont="1" applyFill="1"/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5\&#1059;&#1089;&#1083;&#1091;&#1075;&#1080;%202015\_&#1059;&#1089;&#1083;&#1091;&#1075;&#1080;%202015%2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6;&#1072;&#1089;&#1095;&#1077;&#1090;&#1099;%202022\&#1091;&#1089;&#1083;&#1091;&#1075;&#108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7\&#1091;&#1089;&#1083;&#1091;&#1075;&#1080;%202017\&#1091;&#1089;&#1083;&#1091;&#1075;&#1080;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or\&#1056;&#1072;&#1089;&#1095;&#1077;&#1090;&#1099;%202018\&#1091;&#1089;&#1083;&#1091;&#1075;&#1080;%202018\&#1091;&#1089;&#1083;&#1091;&#1075;&#1080;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8\&#1091;&#1089;&#1083;&#1091;&#1075;&#1080;%202018\&#1091;&#1089;&#1083;&#1091;&#1075;&#1080;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or\&#1056;&#1072;&#1089;&#1095;&#1077;&#1090;&#1099;%202019\&#1091;&#1089;&#1083;&#1091;&#1075;&#1080;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9\&#1091;&#1089;&#1083;&#1091;&#1075;&#1080;%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20\&#1091;&#1089;&#1083;&#1091;&#1075;&#1080;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21\&#1091;&#1089;&#1083;&#1091;&#1075;&#1080;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6;&#1072;&#1089;&#1095;&#1077;&#1090;&#1099;%202021\&#1091;&#1089;&#1083;&#1091;&#1075;&#108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"/>
      <sheetName val="Оглавление"/>
      <sheetName val="оренбург"/>
      <sheetName val="челябинск"/>
      <sheetName val="астрахань"/>
      <sheetName val="саратов"/>
      <sheetName val="Архангельск"/>
      <sheetName val="Тула"/>
      <sheetName val="Республика Коми"/>
      <sheetName val="Псков"/>
      <sheetName val="липецк"/>
      <sheetName val="н.новгород"/>
      <sheetName val="пенза"/>
      <sheetName val="ульяновск"/>
      <sheetName val="вологда"/>
      <sheetName val="киров"/>
      <sheetName val="новгород"/>
      <sheetName val="Свердловск"/>
      <sheetName val="тверь"/>
      <sheetName val="Курск"/>
      <sheetName val="Орел"/>
      <sheetName val="МО"/>
      <sheetName val="лен обл"/>
      <sheetName val="питер"/>
      <sheetName val="владимир"/>
      <sheetName val="удмуртия"/>
      <sheetName val="смоленск"/>
      <sheetName val="мордовия"/>
      <sheetName val="чувашия"/>
      <sheetName val="рязань"/>
      <sheetName val="хакасия"/>
      <sheetName val="калуга"/>
      <sheetName val="брянск"/>
      <sheetName val="карелия"/>
      <sheetName val="кузбасс"/>
      <sheetName val="мурманск"/>
      <sheetName val="кострома"/>
      <sheetName val="омск"/>
      <sheetName val="ярославль"/>
      <sheetName val="волгоград"/>
      <sheetName val="ростов"/>
      <sheetName val="дагестан"/>
      <sheetName val="Башкирия"/>
      <sheetName val="кубань"/>
      <sheetName val="иркутск"/>
      <sheetName val="Амур"/>
      <sheetName val="ЕАО"/>
      <sheetName val="Приморье"/>
      <sheetName val="Хабаровск"/>
      <sheetName val="чита"/>
      <sheetName val="бурятия"/>
      <sheetName val="воронеж"/>
      <sheetName val="алтай"/>
      <sheetName val="Татарстан"/>
      <sheetName val="Самара"/>
      <sheetName val="иваново"/>
      <sheetName val="Марий Эл"/>
      <sheetName val="Томск"/>
      <sheetName val="Пермь"/>
      <sheetName val="Ставрополь"/>
      <sheetName val="Тамбов"/>
      <sheetName val="Белгород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54">
          <cell r="L154">
            <v>47310</v>
          </cell>
        </row>
        <row r="155">
          <cell r="L155">
            <v>16604</v>
          </cell>
        </row>
        <row r="156">
          <cell r="L156">
            <v>17853</v>
          </cell>
        </row>
        <row r="157">
          <cell r="L157">
            <v>4992</v>
          </cell>
        </row>
        <row r="158">
          <cell r="L158">
            <v>32475</v>
          </cell>
        </row>
        <row r="159">
          <cell r="L159">
            <v>64018</v>
          </cell>
        </row>
        <row r="160">
          <cell r="L160">
            <v>24152689</v>
          </cell>
        </row>
        <row r="161">
          <cell r="L161">
            <v>732653</v>
          </cell>
        </row>
        <row r="162">
          <cell r="L162">
            <v>87188</v>
          </cell>
        </row>
        <row r="163">
          <cell r="L163">
            <v>1840</v>
          </cell>
        </row>
        <row r="164">
          <cell r="L164">
            <v>91552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3">
          <cell r="L3">
            <v>24372100</v>
          </cell>
        </row>
        <row r="4">
          <cell r="L4">
            <v>636261</v>
          </cell>
        </row>
        <row r="5">
          <cell r="L5">
            <v>260063</v>
          </cell>
        </row>
        <row r="6">
          <cell r="L6">
            <v>55721</v>
          </cell>
        </row>
        <row r="7">
          <cell r="L7">
            <v>182307</v>
          </cell>
        </row>
        <row r="8">
          <cell r="L8">
            <v>75430</v>
          </cell>
        </row>
        <row r="9">
          <cell r="L9">
            <v>142049</v>
          </cell>
        </row>
        <row r="10">
          <cell r="L10">
            <v>616721</v>
          </cell>
        </row>
        <row r="11">
          <cell r="L11">
            <v>0</v>
          </cell>
        </row>
        <row r="12">
          <cell r="L12">
            <v>1209092</v>
          </cell>
        </row>
        <row r="13">
          <cell r="L13">
            <v>364732</v>
          </cell>
        </row>
        <row r="14">
          <cell r="L14">
            <v>702302</v>
          </cell>
        </row>
        <row r="15">
          <cell r="L15">
            <v>19505</v>
          </cell>
        </row>
        <row r="16">
          <cell r="L16">
            <v>64189.999999999985</v>
          </cell>
        </row>
        <row r="17">
          <cell r="L17">
            <v>144164</v>
          </cell>
        </row>
        <row r="18">
          <cell r="L18">
            <v>69686</v>
          </cell>
        </row>
        <row r="19">
          <cell r="L19">
            <v>28938</v>
          </cell>
        </row>
        <row r="23">
          <cell r="L23">
            <v>19578871</v>
          </cell>
        </row>
        <row r="24">
          <cell r="L24">
            <v>529114</v>
          </cell>
        </row>
        <row r="25">
          <cell r="L25">
            <v>229167</v>
          </cell>
        </row>
        <row r="26">
          <cell r="L26">
            <v>50322</v>
          </cell>
        </row>
        <row r="27">
          <cell r="L27">
            <v>179567</v>
          </cell>
        </row>
        <row r="28">
          <cell r="L28">
            <v>76196</v>
          </cell>
        </row>
        <row r="29">
          <cell r="L29">
            <v>117690</v>
          </cell>
        </row>
        <row r="30">
          <cell r="L30">
            <v>543465</v>
          </cell>
        </row>
        <row r="31">
          <cell r="L31">
            <v>0</v>
          </cell>
        </row>
        <row r="32">
          <cell r="L32">
            <v>963465</v>
          </cell>
        </row>
        <row r="33">
          <cell r="L33">
            <v>369453</v>
          </cell>
        </row>
        <row r="34">
          <cell r="L34">
            <v>628763</v>
          </cell>
        </row>
        <row r="35">
          <cell r="L35">
            <v>4910</v>
          </cell>
        </row>
        <row r="36">
          <cell r="L36">
            <v>19867.000000000025</v>
          </cell>
        </row>
        <row r="37">
          <cell r="L37">
            <v>122264.00000000006</v>
          </cell>
        </row>
        <row r="38">
          <cell r="L38">
            <v>61226</v>
          </cell>
        </row>
        <row r="39">
          <cell r="L39">
            <v>26461</v>
          </cell>
        </row>
        <row r="40">
          <cell r="L40">
            <v>70862</v>
          </cell>
        </row>
        <row r="41">
          <cell r="L41">
            <v>50313</v>
          </cell>
        </row>
        <row r="43">
          <cell r="L43">
            <v>22117363</v>
          </cell>
        </row>
        <row r="44">
          <cell r="L44">
            <v>477402</v>
          </cell>
        </row>
        <row r="45">
          <cell r="L45">
            <v>183659</v>
          </cell>
        </row>
        <row r="46">
          <cell r="L46">
            <v>51503</v>
          </cell>
        </row>
        <row r="47">
          <cell r="L47">
            <v>208128</v>
          </cell>
        </row>
        <row r="48">
          <cell r="L48">
            <v>56810</v>
          </cell>
        </row>
        <row r="49">
          <cell r="L49">
            <v>206202</v>
          </cell>
        </row>
        <row r="50">
          <cell r="L50">
            <v>493696</v>
          </cell>
        </row>
        <row r="51">
          <cell r="L51">
            <v>0</v>
          </cell>
        </row>
        <row r="52">
          <cell r="L52">
            <v>803420</v>
          </cell>
        </row>
        <row r="53">
          <cell r="L53">
            <v>248721</v>
          </cell>
        </row>
        <row r="54">
          <cell r="L54">
            <v>441007</v>
          </cell>
        </row>
        <row r="55">
          <cell r="L55">
            <v>3920</v>
          </cell>
        </row>
        <row r="56">
          <cell r="L56">
            <v>115823</v>
          </cell>
        </row>
        <row r="57">
          <cell r="L57">
            <v>126460</v>
          </cell>
        </row>
        <row r="58">
          <cell r="L58">
            <v>56367</v>
          </cell>
        </row>
        <row r="59">
          <cell r="L59">
            <v>28975</v>
          </cell>
        </row>
        <row r="63">
          <cell r="L63">
            <v>20945487</v>
          </cell>
        </row>
        <row r="64">
          <cell r="L64">
            <v>355397</v>
          </cell>
        </row>
        <row r="65">
          <cell r="L65">
            <v>125813</v>
          </cell>
        </row>
        <row r="66">
          <cell r="L66">
            <v>48098</v>
          </cell>
        </row>
        <row r="67">
          <cell r="L67">
            <v>159923</v>
          </cell>
        </row>
        <row r="68">
          <cell r="L68">
            <v>79142</v>
          </cell>
        </row>
        <row r="69">
          <cell r="L69">
            <v>93105</v>
          </cell>
        </row>
        <row r="70">
          <cell r="L70">
            <v>370064</v>
          </cell>
        </row>
        <row r="71">
          <cell r="L71">
            <v>0</v>
          </cell>
        </row>
        <row r="72">
          <cell r="L72">
            <v>897955</v>
          </cell>
        </row>
        <row r="73">
          <cell r="L73">
            <v>270043</v>
          </cell>
        </row>
        <row r="74">
          <cell r="L74">
            <v>488069</v>
          </cell>
        </row>
        <row r="75">
          <cell r="L75">
            <v>5685</v>
          </cell>
        </row>
        <row r="76">
          <cell r="L76">
            <v>55856</v>
          </cell>
        </row>
        <row r="77">
          <cell r="L77">
            <v>118328</v>
          </cell>
        </row>
        <row r="78">
          <cell r="L78">
            <v>50555</v>
          </cell>
        </row>
        <row r="79">
          <cell r="L79">
            <v>27331</v>
          </cell>
        </row>
        <row r="83">
          <cell r="L83">
            <v>22326289</v>
          </cell>
        </row>
        <row r="84">
          <cell r="L84">
            <v>283904</v>
          </cell>
        </row>
        <row r="85">
          <cell r="L85">
            <v>131677</v>
          </cell>
        </row>
        <row r="86">
          <cell r="L86">
            <v>46344</v>
          </cell>
        </row>
        <row r="87">
          <cell r="L87">
            <v>46775</v>
          </cell>
        </row>
        <row r="88">
          <cell r="L88">
            <v>49260</v>
          </cell>
        </row>
        <row r="89">
          <cell r="L89">
            <v>53573</v>
          </cell>
        </row>
        <row r="90">
          <cell r="L90">
            <v>327212</v>
          </cell>
        </row>
        <row r="91">
          <cell r="L91">
            <v>0</v>
          </cell>
        </row>
        <row r="92">
          <cell r="L92">
            <v>917043</v>
          </cell>
        </row>
        <row r="93">
          <cell r="L93">
            <v>223448</v>
          </cell>
        </row>
        <row r="94">
          <cell r="L94">
            <v>92333</v>
          </cell>
        </row>
        <row r="95">
          <cell r="L95">
            <v>11169</v>
          </cell>
        </row>
        <row r="96">
          <cell r="L96">
            <v>21</v>
          </cell>
        </row>
        <row r="97">
          <cell r="L97">
            <v>44024</v>
          </cell>
        </row>
        <row r="98">
          <cell r="L98">
            <v>67866</v>
          </cell>
        </row>
        <row r="99">
          <cell r="L99">
            <v>43827</v>
          </cell>
        </row>
        <row r="100">
          <cell r="L100">
            <v>25441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47">
          <cell r="L147">
            <v>25892070</v>
          </cell>
        </row>
        <row r="148">
          <cell r="L148">
            <v>591642</v>
          </cell>
        </row>
        <row r="149">
          <cell r="L149">
            <v>78499</v>
          </cell>
        </row>
        <row r="150">
          <cell r="L150">
            <v>210</v>
          </cell>
        </row>
        <row r="154">
          <cell r="L154">
            <v>278980</v>
          </cell>
        </row>
        <row r="155">
          <cell r="L155">
            <v>803928</v>
          </cell>
        </row>
        <row r="156">
          <cell r="L156">
            <v>326698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95">
          <cell r="L95">
            <v>23843257</v>
          </cell>
        </row>
        <row r="96">
          <cell r="L96">
            <v>205147</v>
          </cell>
        </row>
        <row r="97">
          <cell r="L97">
            <v>38803</v>
          </cell>
        </row>
        <row r="98">
          <cell r="L98">
            <v>475</v>
          </cell>
        </row>
        <row r="102">
          <cell r="L102">
            <v>129138</v>
          </cell>
        </row>
        <row r="104">
          <cell r="L104">
            <v>450836</v>
          </cell>
        </row>
        <row r="105">
          <cell r="L105">
            <v>177526</v>
          </cell>
        </row>
        <row r="111">
          <cell r="L111">
            <v>24729314</v>
          </cell>
        </row>
        <row r="112">
          <cell r="L112">
            <v>302428</v>
          </cell>
        </row>
        <row r="113">
          <cell r="L113">
            <v>34202</v>
          </cell>
        </row>
        <row r="114">
          <cell r="L114">
            <v>26</v>
          </cell>
        </row>
        <row r="118">
          <cell r="L118">
            <v>217678</v>
          </cell>
        </row>
        <row r="120">
          <cell r="L120">
            <v>540911</v>
          </cell>
        </row>
        <row r="121">
          <cell r="L121">
            <v>165294</v>
          </cell>
        </row>
        <row r="143">
          <cell r="L143">
            <v>25097613</v>
          </cell>
        </row>
        <row r="144">
          <cell r="L144">
            <v>614746</v>
          </cell>
        </row>
        <row r="145">
          <cell r="L145">
            <v>95806</v>
          </cell>
        </row>
        <row r="146">
          <cell r="L146">
            <v>201</v>
          </cell>
        </row>
        <row r="150">
          <cell r="L150">
            <v>502198</v>
          </cell>
        </row>
        <row r="152">
          <cell r="L152">
            <v>773692</v>
          </cell>
        </row>
        <row r="153">
          <cell r="L153">
            <v>271602</v>
          </cell>
        </row>
        <row r="175">
          <cell r="L175">
            <v>26716939</v>
          </cell>
        </row>
        <row r="176">
          <cell r="L176">
            <v>904927</v>
          </cell>
        </row>
        <row r="177">
          <cell r="L177">
            <v>140855</v>
          </cell>
        </row>
        <row r="178">
          <cell r="L178">
            <v>989</v>
          </cell>
        </row>
        <row r="182">
          <cell r="L182">
            <v>648285</v>
          </cell>
        </row>
        <row r="184">
          <cell r="L184">
            <v>921825</v>
          </cell>
        </row>
        <row r="185">
          <cell r="L185">
            <v>353006</v>
          </cell>
        </row>
        <row r="187">
          <cell r="L187">
            <v>54134</v>
          </cell>
        </row>
        <row r="188">
          <cell r="L188">
            <v>18761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L7">
            <v>160619</v>
          </cell>
        </row>
        <row r="8">
          <cell r="L8">
            <v>92630</v>
          </cell>
        </row>
        <row r="9">
          <cell r="L9">
            <v>107062</v>
          </cell>
        </row>
        <row r="13">
          <cell r="L13">
            <v>450368</v>
          </cell>
        </row>
        <row r="22">
          <cell r="L22">
            <v>118817</v>
          </cell>
        </row>
        <row r="23">
          <cell r="L23">
            <v>130962</v>
          </cell>
        </row>
        <row r="24">
          <cell r="L24">
            <v>106549</v>
          </cell>
        </row>
        <row r="28">
          <cell r="L28">
            <v>418978</v>
          </cell>
        </row>
        <row r="37">
          <cell r="L37">
            <v>136151</v>
          </cell>
        </row>
        <row r="38">
          <cell r="L38">
            <v>79637</v>
          </cell>
        </row>
        <row r="39">
          <cell r="L39">
            <v>100958</v>
          </cell>
        </row>
        <row r="43">
          <cell r="L43">
            <v>380317</v>
          </cell>
        </row>
        <row r="127">
          <cell r="L127">
            <v>23221995</v>
          </cell>
        </row>
        <row r="128">
          <cell r="L128">
            <v>439524</v>
          </cell>
        </row>
        <row r="129">
          <cell r="L129">
            <v>60373</v>
          </cell>
        </row>
        <row r="130">
          <cell r="L130">
            <v>24</v>
          </cell>
        </row>
        <row r="134">
          <cell r="L134">
            <v>247595</v>
          </cell>
        </row>
        <row r="136">
          <cell r="L136">
            <v>578219</v>
          </cell>
        </row>
        <row r="137">
          <cell r="L137">
            <v>218461</v>
          </cell>
        </row>
        <row r="159">
          <cell r="L159">
            <v>26218950</v>
          </cell>
        </row>
        <row r="160">
          <cell r="L160">
            <v>710069</v>
          </cell>
        </row>
        <row r="161">
          <cell r="L161">
            <v>100678</v>
          </cell>
        </row>
        <row r="162">
          <cell r="L162">
            <v>740</v>
          </cell>
        </row>
        <row r="166">
          <cell r="L166">
            <v>441902</v>
          </cell>
        </row>
        <row r="168">
          <cell r="L168">
            <v>802801</v>
          </cell>
        </row>
        <row r="169">
          <cell r="L169">
            <v>328550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L3">
            <v>27150124</v>
          </cell>
        </row>
        <row r="4">
          <cell r="L4">
            <v>975947</v>
          </cell>
        </row>
        <row r="5">
          <cell r="L5">
            <v>160965</v>
          </cell>
        </row>
        <row r="6">
          <cell r="L6">
            <v>761</v>
          </cell>
        </row>
        <row r="10">
          <cell r="L10">
            <v>652152</v>
          </cell>
        </row>
        <row r="11">
          <cell r="L11">
            <v>0</v>
          </cell>
        </row>
        <row r="12">
          <cell r="L12">
            <v>972606</v>
          </cell>
        </row>
        <row r="13">
          <cell r="L13">
            <v>409784</v>
          </cell>
        </row>
        <row r="19">
          <cell r="L19">
            <v>24349209</v>
          </cell>
        </row>
        <row r="20">
          <cell r="L20">
            <v>764605</v>
          </cell>
        </row>
        <row r="21">
          <cell r="L21">
            <v>137186</v>
          </cell>
        </row>
        <row r="22">
          <cell r="L22">
            <v>1517</v>
          </cell>
        </row>
        <row r="26">
          <cell r="L26">
            <v>521392</v>
          </cell>
        </row>
        <row r="27">
          <cell r="L27">
            <v>0</v>
          </cell>
        </row>
        <row r="28">
          <cell r="L28">
            <v>957021</v>
          </cell>
        </row>
        <row r="29">
          <cell r="L29">
            <v>366470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5">
          <cell r="L35">
            <v>25574210</v>
          </cell>
        </row>
        <row r="36">
          <cell r="L36">
            <v>717603</v>
          </cell>
        </row>
        <row r="37">
          <cell r="L37">
            <v>121830</v>
          </cell>
        </row>
        <row r="38">
          <cell r="L38">
            <v>1176</v>
          </cell>
        </row>
        <row r="42">
          <cell r="L42">
            <v>632983</v>
          </cell>
        </row>
        <row r="43">
          <cell r="L43">
            <v>0</v>
          </cell>
        </row>
        <row r="44">
          <cell r="L44">
            <v>930360</v>
          </cell>
        </row>
        <row r="45">
          <cell r="L45">
            <v>355509</v>
          </cell>
        </row>
        <row r="51">
          <cell r="L51">
            <v>22922769</v>
          </cell>
        </row>
        <row r="52">
          <cell r="L52">
            <v>426345</v>
          </cell>
        </row>
        <row r="53">
          <cell r="L53">
            <v>138055</v>
          </cell>
        </row>
        <row r="54">
          <cell r="L54">
            <v>1033</v>
          </cell>
        </row>
        <row r="58">
          <cell r="L58">
            <v>393431</v>
          </cell>
        </row>
        <row r="59">
          <cell r="L59">
            <v>0</v>
          </cell>
        </row>
        <row r="60">
          <cell r="L60">
            <v>785270</v>
          </cell>
        </row>
        <row r="61">
          <cell r="L61">
            <v>310635</v>
          </cell>
        </row>
        <row r="67">
          <cell r="L67">
            <v>22595658</v>
          </cell>
        </row>
        <row r="68">
          <cell r="L68">
            <v>449688</v>
          </cell>
        </row>
        <row r="69">
          <cell r="L69">
            <v>86834</v>
          </cell>
        </row>
        <row r="70">
          <cell r="L70">
            <v>1107</v>
          </cell>
        </row>
        <row r="71">
          <cell r="L71">
            <v>110922</v>
          </cell>
        </row>
        <row r="72">
          <cell r="L72">
            <v>42492</v>
          </cell>
        </row>
        <row r="73">
          <cell r="L73">
            <v>104360</v>
          </cell>
        </row>
        <row r="74">
          <cell r="L74">
            <v>352477</v>
          </cell>
        </row>
        <row r="75">
          <cell r="L75">
            <v>0</v>
          </cell>
        </row>
        <row r="76">
          <cell r="L76">
            <v>616562</v>
          </cell>
        </row>
        <row r="77">
          <cell r="L77">
            <v>243828</v>
          </cell>
        </row>
        <row r="78">
          <cell r="L78">
            <v>211986</v>
          </cell>
        </row>
        <row r="83">
          <cell r="L83">
            <v>21691038</v>
          </cell>
        </row>
        <row r="84">
          <cell r="L84">
            <v>405975</v>
          </cell>
        </row>
        <row r="85">
          <cell r="L85">
            <v>34281</v>
          </cell>
        </row>
        <row r="86">
          <cell r="L86">
            <v>176</v>
          </cell>
        </row>
        <row r="87">
          <cell r="L87">
            <v>123580</v>
          </cell>
        </row>
        <row r="88">
          <cell r="L88">
            <v>79026</v>
          </cell>
        </row>
        <row r="89">
          <cell r="L89">
            <v>87557</v>
          </cell>
        </row>
        <row r="90">
          <cell r="L90">
            <v>230096</v>
          </cell>
        </row>
        <row r="91">
          <cell r="L91">
            <v>0</v>
          </cell>
        </row>
        <row r="92">
          <cell r="L92">
            <v>560906</v>
          </cell>
        </row>
        <row r="93">
          <cell r="L93">
            <v>204502</v>
          </cell>
        </row>
        <row r="94">
          <cell r="L94">
            <v>231556</v>
          </cell>
        </row>
        <row r="95">
          <cell r="L95">
            <v>60382</v>
          </cell>
        </row>
        <row r="96">
          <cell r="L96">
            <v>30904</v>
          </cell>
        </row>
        <row r="99">
          <cell r="L99">
            <v>22120909</v>
          </cell>
        </row>
        <row r="100">
          <cell r="L100">
            <v>441023</v>
          </cell>
        </row>
        <row r="101">
          <cell r="L101">
            <v>29799</v>
          </cell>
        </row>
        <row r="102">
          <cell r="L102">
            <v>489</v>
          </cell>
        </row>
        <row r="103">
          <cell r="L103">
            <v>158257</v>
          </cell>
        </row>
        <row r="104">
          <cell r="L104">
            <v>47492</v>
          </cell>
        </row>
        <row r="105">
          <cell r="L105">
            <v>83416</v>
          </cell>
        </row>
        <row r="106">
          <cell r="L106">
            <v>245232</v>
          </cell>
        </row>
        <row r="107">
          <cell r="L107">
            <v>0</v>
          </cell>
        </row>
        <row r="108">
          <cell r="L108">
            <v>551203</v>
          </cell>
        </row>
        <row r="109">
          <cell r="L109">
            <v>178645</v>
          </cell>
        </row>
        <row r="110">
          <cell r="L110">
            <v>190658</v>
          </cell>
        </row>
        <row r="111">
          <cell r="L111">
            <v>2020</v>
          </cell>
        </row>
        <row r="112">
          <cell r="L112">
            <v>57701</v>
          </cell>
        </row>
        <row r="113">
          <cell r="L113">
            <v>31521</v>
          </cell>
        </row>
        <row r="116">
          <cell r="L116">
            <v>22420691</v>
          </cell>
        </row>
        <row r="117">
          <cell r="L117">
            <v>445858</v>
          </cell>
        </row>
        <row r="118">
          <cell r="L118">
            <v>43169</v>
          </cell>
        </row>
        <row r="119">
          <cell r="L119">
            <v>49</v>
          </cell>
        </row>
        <row r="120">
          <cell r="L120">
            <v>182498</v>
          </cell>
        </row>
        <row r="121">
          <cell r="L121">
            <v>31550</v>
          </cell>
        </row>
        <row r="122">
          <cell r="L122">
            <v>94141</v>
          </cell>
        </row>
        <row r="123">
          <cell r="L123">
            <v>240587</v>
          </cell>
        </row>
        <row r="124">
          <cell r="L124">
            <v>0</v>
          </cell>
        </row>
        <row r="125">
          <cell r="L125">
            <v>556117</v>
          </cell>
        </row>
        <row r="126">
          <cell r="L126">
            <v>182158</v>
          </cell>
        </row>
        <row r="127">
          <cell r="L127">
            <v>167464</v>
          </cell>
        </row>
        <row r="128">
          <cell r="L128">
            <v>2244</v>
          </cell>
        </row>
        <row r="129">
          <cell r="L129">
            <v>62671</v>
          </cell>
        </row>
        <row r="130">
          <cell r="L130">
            <v>38642</v>
          </cell>
        </row>
        <row r="133">
          <cell r="L133">
            <v>21432575</v>
          </cell>
        </row>
        <row r="134">
          <cell r="L134">
            <v>408062</v>
          </cell>
        </row>
        <row r="135">
          <cell r="L135">
            <v>61929</v>
          </cell>
        </row>
        <row r="136">
          <cell r="L136">
            <v>690</v>
          </cell>
        </row>
        <row r="137">
          <cell r="L137">
            <v>156015</v>
          </cell>
        </row>
        <row r="138">
          <cell r="L138">
            <v>51750</v>
          </cell>
        </row>
        <row r="139">
          <cell r="L139">
            <v>89524</v>
          </cell>
        </row>
        <row r="140">
          <cell r="L140">
            <v>340092</v>
          </cell>
        </row>
        <row r="142">
          <cell r="L142">
            <v>621265</v>
          </cell>
        </row>
        <row r="143">
          <cell r="L143">
            <v>223880</v>
          </cell>
        </row>
        <row r="144">
          <cell r="L144">
            <v>250551</v>
          </cell>
        </row>
        <row r="145">
          <cell r="L145">
            <v>2762</v>
          </cell>
        </row>
        <row r="146">
          <cell r="L146">
            <v>66268</v>
          </cell>
        </row>
        <row r="147">
          <cell r="L147">
            <v>31699</v>
          </cell>
        </row>
        <row r="150">
          <cell r="L150">
            <v>23795590</v>
          </cell>
        </row>
        <row r="151">
          <cell r="L151">
            <v>755951</v>
          </cell>
        </row>
        <row r="152">
          <cell r="L152">
            <v>96837</v>
          </cell>
        </row>
        <row r="153">
          <cell r="L153">
            <v>259</v>
          </cell>
        </row>
        <row r="154">
          <cell r="L154">
            <v>136193</v>
          </cell>
        </row>
        <row r="155">
          <cell r="L155">
            <v>24425</v>
          </cell>
        </row>
        <row r="156">
          <cell r="L156">
            <v>100295</v>
          </cell>
        </row>
        <row r="157">
          <cell r="L157">
            <v>366769</v>
          </cell>
        </row>
        <row r="159">
          <cell r="L159">
            <v>788462</v>
          </cell>
        </row>
        <row r="160">
          <cell r="L160">
            <v>306348</v>
          </cell>
        </row>
        <row r="161">
          <cell r="L161">
            <v>238624</v>
          </cell>
        </row>
        <row r="162">
          <cell r="L162">
            <v>7090</v>
          </cell>
        </row>
        <row r="163">
          <cell r="L163">
            <v>57701</v>
          </cell>
        </row>
        <row r="164">
          <cell r="L164">
            <v>31521</v>
          </cell>
        </row>
        <row r="167">
          <cell r="L167">
            <v>24693932</v>
          </cell>
        </row>
        <row r="168">
          <cell r="L168">
            <v>749128</v>
          </cell>
        </row>
        <row r="169">
          <cell r="L169">
            <v>129001</v>
          </cell>
        </row>
        <row r="170">
          <cell r="L170">
            <v>217</v>
          </cell>
        </row>
        <row r="171">
          <cell r="L171">
            <v>122215</v>
          </cell>
        </row>
        <row r="172">
          <cell r="L172">
            <v>82617</v>
          </cell>
        </row>
        <row r="173">
          <cell r="L173">
            <v>76156</v>
          </cell>
        </row>
        <row r="174">
          <cell r="L174">
            <v>730172</v>
          </cell>
        </row>
        <row r="175">
          <cell r="L175">
            <v>0</v>
          </cell>
        </row>
        <row r="176">
          <cell r="L176">
            <v>998508</v>
          </cell>
        </row>
        <row r="177">
          <cell r="L177">
            <v>334387</v>
          </cell>
        </row>
        <row r="178">
          <cell r="L178">
            <v>410764</v>
          </cell>
        </row>
        <row r="179">
          <cell r="L179">
            <v>3050</v>
          </cell>
        </row>
        <row r="180">
          <cell r="L180">
            <v>80491</v>
          </cell>
        </row>
        <row r="181">
          <cell r="L181">
            <v>28431</v>
          </cell>
        </row>
        <row r="184">
          <cell r="L184">
            <v>26117427</v>
          </cell>
        </row>
        <row r="185">
          <cell r="L185">
            <v>834616</v>
          </cell>
        </row>
        <row r="186">
          <cell r="L186">
            <v>129024</v>
          </cell>
        </row>
        <row r="187">
          <cell r="L187">
            <v>222</v>
          </cell>
        </row>
        <row r="188">
          <cell r="L188">
            <v>145349</v>
          </cell>
        </row>
        <row r="189">
          <cell r="L189">
            <v>77808</v>
          </cell>
        </row>
        <row r="190">
          <cell r="L190">
            <v>84270</v>
          </cell>
        </row>
        <row r="191">
          <cell r="L191">
            <v>605576</v>
          </cell>
        </row>
        <row r="192">
          <cell r="L192">
            <v>0</v>
          </cell>
        </row>
        <row r="193">
          <cell r="L193">
            <v>1040134</v>
          </cell>
        </row>
        <row r="194">
          <cell r="L194">
            <v>361578</v>
          </cell>
        </row>
        <row r="195">
          <cell r="L195">
            <v>468134</v>
          </cell>
        </row>
        <row r="196">
          <cell r="L196">
            <v>13910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L3">
            <v>26961090</v>
          </cell>
        </row>
        <row r="4">
          <cell r="L4">
            <v>848489</v>
          </cell>
        </row>
        <row r="5">
          <cell r="L5">
            <v>138903</v>
          </cell>
        </row>
        <row r="6">
          <cell r="L6">
            <v>980</v>
          </cell>
        </row>
        <row r="7">
          <cell r="L7">
            <v>12108</v>
          </cell>
        </row>
        <row r="8">
          <cell r="L8">
            <v>136413</v>
          </cell>
        </row>
        <row r="9">
          <cell r="L9">
            <v>3473</v>
          </cell>
        </row>
        <row r="10">
          <cell r="L10">
            <v>578894</v>
          </cell>
        </row>
        <row r="11">
          <cell r="L11">
            <v>0</v>
          </cell>
        </row>
        <row r="12">
          <cell r="L12">
            <v>1087336</v>
          </cell>
        </row>
        <row r="13">
          <cell r="L13">
            <v>363998</v>
          </cell>
        </row>
        <row r="14">
          <cell r="L14">
            <v>112199</v>
          </cell>
        </row>
        <row r="15">
          <cell r="L15">
            <v>5200</v>
          </cell>
        </row>
        <row r="16">
          <cell r="L16">
            <v>188952.99999999988</v>
          </cell>
        </row>
        <row r="17">
          <cell r="L17">
            <v>90937</v>
          </cell>
        </row>
        <row r="18">
          <cell r="L18">
            <v>80000</v>
          </cell>
        </row>
        <row r="20">
          <cell r="L20">
            <v>22460590</v>
          </cell>
        </row>
        <row r="21">
          <cell r="L21">
            <v>366585</v>
          </cell>
        </row>
        <row r="22">
          <cell r="L22">
            <v>138656</v>
          </cell>
        </row>
        <row r="23">
          <cell r="L23">
            <v>730</v>
          </cell>
        </row>
        <row r="24">
          <cell r="L24">
            <v>196270</v>
          </cell>
        </row>
        <row r="25">
          <cell r="L25">
            <v>83007</v>
          </cell>
        </row>
        <row r="26">
          <cell r="L26">
            <v>175555</v>
          </cell>
        </row>
        <row r="27">
          <cell r="L27">
            <v>498076</v>
          </cell>
        </row>
        <row r="28">
          <cell r="L28">
            <v>0</v>
          </cell>
        </row>
        <row r="29">
          <cell r="L29">
            <v>1062592</v>
          </cell>
        </row>
        <row r="30">
          <cell r="L30">
            <v>345039</v>
          </cell>
        </row>
        <row r="31">
          <cell r="L31">
            <v>924528</v>
          </cell>
        </row>
        <row r="32">
          <cell r="L32">
            <v>3708</v>
          </cell>
        </row>
        <row r="33">
          <cell r="L33">
            <v>157681.99999999977</v>
          </cell>
        </row>
        <row r="37">
          <cell r="L37">
            <v>25125459</v>
          </cell>
        </row>
        <row r="38">
          <cell r="L38">
            <v>564213</v>
          </cell>
        </row>
        <row r="39">
          <cell r="L39">
            <v>107234</v>
          </cell>
        </row>
        <row r="40">
          <cell r="L40">
            <v>113</v>
          </cell>
        </row>
        <row r="41">
          <cell r="L41">
            <v>123031</v>
          </cell>
        </row>
        <row r="42">
          <cell r="L42">
            <v>44121</v>
          </cell>
        </row>
        <row r="43">
          <cell r="L43">
            <v>80589</v>
          </cell>
        </row>
        <row r="44">
          <cell r="L44">
            <v>588782</v>
          </cell>
        </row>
        <row r="45">
          <cell r="L45">
            <v>0</v>
          </cell>
        </row>
        <row r="46">
          <cell r="L46">
            <v>1034682</v>
          </cell>
        </row>
        <row r="47">
          <cell r="L47">
            <v>312433</v>
          </cell>
        </row>
        <row r="48">
          <cell r="L48">
            <v>419010</v>
          </cell>
        </row>
        <row r="49">
          <cell r="L49">
            <v>2420</v>
          </cell>
        </row>
        <row r="50">
          <cell r="L50">
            <v>174402.00000000003</v>
          </cell>
        </row>
        <row r="54">
          <cell r="L54">
            <v>22221803</v>
          </cell>
        </row>
        <row r="55">
          <cell r="L55">
            <v>437387</v>
          </cell>
        </row>
        <row r="56">
          <cell r="L56">
            <v>83741</v>
          </cell>
        </row>
        <row r="57">
          <cell r="L57">
            <v>362</v>
          </cell>
        </row>
        <row r="58">
          <cell r="L58">
            <v>99750</v>
          </cell>
        </row>
        <row r="59">
          <cell r="L59">
            <v>30807</v>
          </cell>
        </row>
        <row r="60">
          <cell r="L60">
            <v>79569</v>
          </cell>
        </row>
        <row r="61">
          <cell r="L61">
            <v>499104</v>
          </cell>
        </row>
        <row r="62">
          <cell r="L62">
            <v>0</v>
          </cell>
        </row>
        <row r="63">
          <cell r="L63">
            <v>900942</v>
          </cell>
        </row>
        <row r="64">
          <cell r="L64">
            <v>274716</v>
          </cell>
        </row>
        <row r="65">
          <cell r="L65">
            <v>412802</v>
          </cell>
        </row>
        <row r="66">
          <cell r="L66">
            <v>4175</v>
          </cell>
        </row>
        <row r="67">
          <cell r="L67">
            <v>137291</v>
          </cell>
        </row>
        <row r="71">
          <cell r="L71">
            <v>21648105</v>
          </cell>
        </row>
        <row r="72">
          <cell r="L72">
            <v>290285</v>
          </cell>
        </row>
        <row r="73">
          <cell r="L73">
            <v>58930</v>
          </cell>
        </row>
        <row r="74">
          <cell r="L74">
            <v>1084</v>
          </cell>
        </row>
        <row r="75">
          <cell r="L75">
            <v>89660</v>
          </cell>
        </row>
        <row r="76">
          <cell r="L76">
            <v>98018</v>
          </cell>
        </row>
        <row r="77">
          <cell r="L77">
            <v>89722</v>
          </cell>
        </row>
        <row r="78">
          <cell r="L78">
            <v>316612</v>
          </cell>
        </row>
        <row r="79">
          <cell r="L79">
            <v>0</v>
          </cell>
        </row>
        <row r="80">
          <cell r="L80">
            <v>751627</v>
          </cell>
        </row>
        <row r="81">
          <cell r="L81">
            <v>207176</v>
          </cell>
        </row>
        <row r="82">
          <cell r="L82">
            <v>304676</v>
          </cell>
        </row>
        <row r="83">
          <cell r="L83">
            <v>3300</v>
          </cell>
        </row>
        <row r="84">
          <cell r="L84">
            <v>75965.999999999956</v>
          </cell>
        </row>
        <row r="85">
          <cell r="L85">
            <v>49004</v>
          </cell>
        </row>
        <row r="86">
          <cell r="L86">
            <v>47896</v>
          </cell>
        </row>
        <row r="88">
          <cell r="L88">
            <v>14172334</v>
          </cell>
        </row>
        <row r="89">
          <cell r="L89">
            <v>224384</v>
          </cell>
        </row>
        <row r="90">
          <cell r="L90">
            <v>39685</v>
          </cell>
        </row>
        <row r="91">
          <cell r="L91">
            <v>47</v>
          </cell>
        </row>
        <row r="92">
          <cell r="L92">
            <v>91259</v>
          </cell>
        </row>
        <row r="93">
          <cell r="L93">
            <v>43079</v>
          </cell>
        </row>
        <row r="94">
          <cell r="L94">
            <v>55535</v>
          </cell>
        </row>
        <row r="95">
          <cell r="L95">
            <v>153975</v>
          </cell>
        </row>
        <row r="96">
          <cell r="L96">
            <v>0</v>
          </cell>
        </row>
        <row r="97">
          <cell r="L97">
            <v>504113</v>
          </cell>
        </row>
        <row r="98">
          <cell r="L98">
            <v>152751</v>
          </cell>
        </row>
        <row r="99">
          <cell r="L99">
            <v>240082</v>
          </cell>
        </row>
        <row r="100">
          <cell r="L100">
            <v>2190</v>
          </cell>
        </row>
        <row r="101">
          <cell r="L101">
            <v>52520.999999999993</v>
          </cell>
        </row>
        <row r="105">
          <cell r="L105">
            <v>18472722</v>
          </cell>
        </row>
        <row r="106">
          <cell r="L106">
            <v>193299</v>
          </cell>
        </row>
        <row r="107">
          <cell r="L107">
            <v>29643</v>
          </cell>
        </row>
        <row r="108">
          <cell r="L108">
            <v>543</v>
          </cell>
        </row>
        <row r="109">
          <cell r="L109">
            <v>99745</v>
          </cell>
        </row>
        <row r="110">
          <cell r="L110">
            <v>75263</v>
          </cell>
        </row>
        <row r="111">
          <cell r="L111">
            <v>59579</v>
          </cell>
        </row>
        <row r="112">
          <cell r="L112">
            <v>124350</v>
          </cell>
        </row>
        <row r="113">
          <cell r="L113">
            <v>0</v>
          </cell>
        </row>
        <row r="114">
          <cell r="L114">
            <v>406424</v>
          </cell>
        </row>
        <row r="115">
          <cell r="L115">
            <v>157080</v>
          </cell>
        </row>
        <row r="116">
          <cell r="L116">
            <v>176014</v>
          </cell>
        </row>
        <row r="117">
          <cell r="L117">
            <v>2245</v>
          </cell>
        </row>
        <row r="118">
          <cell r="L118">
            <v>36502</v>
          </cell>
        </row>
        <row r="122">
          <cell r="L122">
            <v>20044197</v>
          </cell>
        </row>
        <row r="123">
          <cell r="L123">
            <v>233446</v>
          </cell>
        </row>
        <row r="124">
          <cell r="L124">
            <v>38003</v>
          </cell>
        </row>
        <row r="125">
          <cell r="L125">
            <v>1277</v>
          </cell>
        </row>
        <row r="126">
          <cell r="L126">
            <v>157229</v>
          </cell>
        </row>
        <row r="127">
          <cell r="L127">
            <v>11445</v>
          </cell>
        </row>
        <row r="128">
          <cell r="L128">
            <v>52437</v>
          </cell>
        </row>
        <row r="129">
          <cell r="L129">
            <v>223001</v>
          </cell>
        </row>
        <row r="130">
          <cell r="L130">
            <v>0</v>
          </cell>
        </row>
        <row r="131">
          <cell r="L131">
            <v>568442</v>
          </cell>
        </row>
        <row r="132">
          <cell r="L132">
            <v>142854</v>
          </cell>
        </row>
        <row r="133">
          <cell r="L133">
            <v>176021</v>
          </cell>
        </row>
        <row r="134">
          <cell r="L134">
            <v>8272</v>
          </cell>
        </row>
        <row r="135">
          <cell r="L135">
            <v>57574.999999999985</v>
          </cell>
        </row>
        <row r="139">
          <cell r="L139">
            <v>19470174</v>
          </cell>
        </row>
        <row r="140">
          <cell r="L140">
            <v>337482</v>
          </cell>
        </row>
        <row r="141">
          <cell r="L141">
            <v>68094</v>
          </cell>
        </row>
        <row r="142">
          <cell r="L142">
            <v>926</v>
          </cell>
        </row>
        <row r="143">
          <cell r="L143">
            <v>175829</v>
          </cell>
        </row>
        <row r="144">
          <cell r="L144">
            <v>34442</v>
          </cell>
        </row>
        <row r="145">
          <cell r="L145">
            <v>60580</v>
          </cell>
        </row>
        <row r="146">
          <cell r="L146">
            <v>324905</v>
          </cell>
        </row>
        <row r="147">
          <cell r="L147">
            <v>0</v>
          </cell>
        </row>
        <row r="148">
          <cell r="L148">
            <v>677291</v>
          </cell>
        </row>
        <row r="149">
          <cell r="L149">
            <v>227580</v>
          </cell>
        </row>
        <row r="150">
          <cell r="L150">
            <v>326274</v>
          </cell>
        </row>
        <row r="151">
          <cell r="L151">
            <v>6877</v>
          </cell>
        </row>
        <row r="152">
          <cell r="L152">
            <v>83611.999999999927</v>
          </cell>
        </row>
        <row r="173">
          <cell r="L173">
            <v>23350650</v>
          </cell>
        </row>
        <row r="174">
          <cell r="L174">
            <v>481565</v>
          </cell>
        </row>
        <row r="175">
          <cell r="L175">
            <v>121928</v>
          </cell>
        </row>
        <row r="176">
          <cell r="L176">
            <v>737</v>
          </cell>
        </row>
        <row r="177">
          <cell r="L177">
            <v>85329</v>
          </cell>
        </row>
        <row r="178">
          <cell r="L178">
            <v>101945</v>
          </cell>
        </row>
        <row r="179">
          <cell r="L179">
            <v>90900</v>
          </cell>
        </row>
        <row r="180">
          <cell r="L180">
            <v>587351</v>
          </cell>
        </row>
        <row r="181">
          <cell r="L181">
            <v>0</v>
          </cell>
        </row>
        <row r="182">
          <cell r="L182">
            <v>922379</v>
          </cell>
        </row>
        <row r="183">
          <cell r="L183">
            <v>270726</v>
          </cell>
        </row>
        <row r="184">
          <cell r="L184">
            <v>378022</v>
          </cell>
        </row>
        <row r="185">
          <cell r="L185">
            <v>4290</v>
          </cell>
        </row>
        <row r="186">
          <cell r="L186">
            <v>125342.00000000004</v>
          </cell>
        </row>
        <row r="190">
          <cell r="L190">
            <v>25477540</v>
          </cell>
        </row>
        <row r="191">
          <cell r="L191">
            <v>584661</v>
          </cell>
        </row>
        <row r="192">
          <cell r="L192">
            <v>144220</v>
          </cell>
        </row>
        <row r="193">
          <cell r="L193">
            <v>229</v>
          </cell>
        </row>
        <row r="194">
          <cell r="L194">
            <v>161796</v>
          </cell>
        </row>
        <row r="195">
          <cell r="L195">
            <v>54984</v>
          </cell>
        </row>
        <row r="196">
          <cell r="L196">
            <v>129336</v>
          </cell>
        </row>
        <row r="197">
          <cell r="L197">
            <v>700337</v>
          </cell>
        </row>
        <row r="198">
          <cell r="L198">
            <v>0</v>
          </cell>
        </row>
        <row r="199">
          <cell r="L199">
            <v>1055700</v>
          </cell>
        </row>
        <row r="200">
          <cell r="L200">
            <v>334130</v>
          </cell>
        </row>
        <row r="201">
          <cell r="L201">
            <v>400257</v>
          </cell>
        </row>
        <row r="202">
          <cell r="L202">
            <v>4080</v>
          </cell>
        </row>
        <row r="203">
          <cell r="L203">
            <v>179257.00000000003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L3">
            <v>24585964</v>
          </cell>
        </row>
        <row r="4">
          <cell r="L4">
            <v>631886</v>
          </cell>
        </row>
        <row r="5">
          <cell r="L5">
            <v>154938</v>
          </cell>
        </row>
        <row r="6">
          <cell r="L6">
            <v>154</v>
          </cell>
        </row>
        <row r="7">
          <cell r="L7">
            <v>197053</v>
          </cell>
        </row>
        <row r="8">
          <cell r="L8">
            <v>68693</v>
          </cell>
        </row>
        <row r="9">
          <cell r="L9">
            <v>165200</v>
          </cell>
        </row>
        <row r="10">
          <cell r="L10">
            <v>564838</v>
          </cell>
        </row>
        <row r="11">
          <cell r="L11">
            <v>0</v>
          </cell>
        </row>
        <row r="12">
          <cell r="L12">
            <v>1169647</v>
          </cell>
        </row>
        <row r="13">
          <cell r="L13">
            <v>309956</v>
          </cell>
        </row>
        <row r="14">
          <cell r="L14">
            <v>583925</v>
          </cell>
        </row>
        <row r="15">
          <cell r="L15">
            <v>7320</v>
          </cell>
        </row>
        <row r="16">
          <cell r="L16">
            <v>182643.99999999997</v>
          </cell>
        </row>
        <row r="17">
          <cell r="L17">
            <v>173972.00000000003</v>
          </cell>
        </row>
        <row r="18">
          <cell r="L18">
            <v>43870</v>
          </cell>
        </row>
        <row r="19">
          <cell r="L19">
            <v>27663</v>
          </cell>
        </row>
        <row r="20">
          <cell r="L20">
            <v>61319</v>
          </cell>
        </row>
        <row r="21">
          <cell r="L21">
            <v>79435</v>
          </cell>
        </row>
        <row r="23">
          <cell r="L23">
            <v>23899477</v>
          </cell>
        </row>
        <row r="24">
          <cell r="L24">
            <v>578219</v>
          </cell>
        </row>
        <row r="25">
          <cell r="L25">
            <v>125191</v>
          </cell>
        </row>
        <row r="26">
          <cell r="L26">
            <v>130</v>
          </cell>
        </row>
        <row r="27">
          <cell r="L27">
            <v>170251</v>
          </cell>
        </row>
        <row r="28">
          <cell r="L28">
            <v>69496</v>
          </cell>
        </row>
        <row r="29">
          <cell r="L29">
            <v>150732</v>
          </cell>
        </row>
        <row r="30">
          <cell r="L30">
            <v>538064</v>
          </cell>
        </row>
        <row r="31">
          <cell r="L31">
            <v>0</v>
          </cell>
        </row>
        <row r="32">
          <cell r="L32">
            <v>1128331</v>
          </cell>
        </row>
        <row r="33">
          <cell r="L33">
            <v>350179</v>
          </cell>
        </row>
        <row r="34">
          <cell r="L34">
            <v>630523</v>
          </cell>
        </row>
        <row r="35">
          <cell r="L35">
            <v>3904</v>
          </cell>
        </row>
        <row r="36">
          <cell r="L36">
            <v>160632</v>
          </cell>
        </row>
        <row r="37">
          <cell r="L37">
            <v>134995.99999999991</v>
          </cell>
        </row>
        <row r="38">
          <cell r="L38">
            <v>36986</v>
          </cell>
        </row>
        <row r="39">
          <cell r="L39">
            <v>24596</v>
          </cell>
        </row>
        <row r="43">
          <cell r="L43">
            <v>25096075</v>
          </cell>
        </row>
        <row r="44">
          <cell r="L44">
            <v>486823</v>
          </cell>
        </row>
        <row r="45">
          <cell r="L45">
            <v>175187</v>
          </cell>
        </row>
        <row r="46">
          <cell r="L46">
            <v>835</v>
          </cell>
        </row>
        <row r="47">
          <cell r="L47">
            <v>109727</v>
          </cell>
        </row>
        <row r="48">
          <cell r="L48">
            <v>31476</v>
          </cell>
        </row>
        <row r="49">
          <cell r="L49">
            <v>61813</v>
          </cell>
        </row>
        <row r="50">
          <cell r="L50">
            <v>613713</v>
          </cell>
        </row>
        <row r="51">
          <cell r="L51">
            <v>0</v>
          </cell>
        </row>
        <row r="52">
          <cell r="L52">
            <v>1060729</v>
          </cell>
        </row>
        <row r="53">
          <cell r="L53">
            <v>306355</v>
          </cell>
        </row>
        <row r="54">
          <cell r="L54">
            <v>358179</v>
          </cell>
        </row>
        <row r="55">
          <cell r="L55">
            <v>3678</v>
          </cell>
        </row>
        <row r="56">
          <cell r="L56">
            <v>197974</v>
          </cell>
        </row>
        <row r="57">
          <cell r="L57">
            <v>128585.99999999991</v>
          </cell>
        </row>
        <row r="58">
          <cell r="L58">
            <v>35995</v>
          </cell>
        </row>
        <row r="59">
          <cell r="L59">
            <v>28140</v>
          </cell>
        </row>
        <row r="63">
          <cell r="L63">
            <v>23592798</v>
          </cell>
        </row>
        <row r="64">
          <cell r="L64">
            <v>312738</v>
          </cell>
        </row>
        <row r="65">
          <cell r="L65">
            <v>142823</v>
          </cell>
        </row>
        <row r="66">
          <cell r="L66">
            <v>478</v>
          </cell>
        </row>
        <row r="67">
          <cell r="L67">
            <v>79071</v>
          </cell>
        </row>
        <row r="68">
          <cell r="L68">
            <v>91415</v>
          </cell>
        </row>
        <row r="69">
          <cell r="L69">
            <v>160042</v>
          </cell>
        </row>
        <row r="70">
          <cell r="L70">
            <v>352895</v>
          </cell>
        </row>
        <row r="71">
          <cell r="L71">
            <v>0</v>
          </cell>
        </row>
        <row r="72">
          <cell r="L72">
            <v>867108</v>
          </cell>
        </row>
        <row r="73">
          <cell r="L73">
            <v>271130</v>
          </cell>
        </row>
        <row r="74">
          <cell r="L74">
            <v>354274</v>
          </cell>
        </row>
        <row r="75">
          <cell r="L75">
            <v>5320</v>
          </cell>
        </row>
        <row r="76">
          <cell r="L76">
            <v>94830.999999999942</v>
          </cell>
        </row>
        <row r="77">
          <cell r="L77">
            <v>70926.000000000175</v>
          </cell>
        </row>
        <row r="78">
          <cell r="L78">
            <v>32293</v>
          </cell>
        </row>
        <row r="79">
          <cell r="L79">
            <v>24616</v>
          </cell>
        </row>
        <row r="83">
          <cell r="L83">
            <v>21154555</v>
          </cell>
        </row>
        <row r="84">
          <cell r="L84">
            <v>268818</v>
          </cell>
        </row>
        <row r="85">
          <cell r="L85">
            <v>98546</v>
          </cell>
        </row>
        <row r="86">
          <cell r="L86">
            <v>427</v>
          </cell>
        </row>
        <row r="87">
          <cell r="L87">
            <v>262380</v>
          </cell>
        </row>
        <row r="88">
          <cell r="L88">
            <v>55584</v>
          </cell>
        </row>
        <row r="89">
          <cell r="L89">
            <v>5597</v>
          </cell>
        </row>
        <row r="90">
          <cell r="L90">
            <v>372065</v>
          </cell>
        </row>
        <row r="91">
          <cell r="L91">
            <v>0</v>
          </cell>
        </row>
        <row r="92">
          <cell r="L92">
            <v>816251</v>
          </cell>
        </row>
        <row r="93">
          <cell r="L93">
            <v>239386</v>
          </cell>
        </row>
        <row r="94">
          <cell r="L94">
            <v>356750</v>
          </cell>
        </row>
        <row r="95">
          <cell r="L95">
            <v>3770</v>
          </cell>
        </row>
        <row r="96">
          <cell r="L96">
            <v>74316.000000000015</v>
          </cell>
        </row>
        <row r="97">
          <cell r="L97">
            <v>61004.000000000007</v>
          </cell>
        </row>
        <row r="98">
          <cell r="L98">
            <v>27647</v>
          </cell>
        </row>
        <row r="99">
          <cell r="L99">
            <v>26671</v>
          </cell>
        </row>
        <row r="103">
          <cell r="L103">
            <v>20241573</v>
          </cell>
        </row>
        <row r="104">
          <cell r="L104">
            <v>186052</v>
          </cell>
        </row>
        <row r="105">
          <cell r="L105">
            <v>38207</v>
          </cell>
        </row>
        <row r="106">
          <cell r="L106">
            <v>921</v>
          </cell>
        </row>
        <row r="107">
          <cell r="L107">
            <v>195321</v>
          </cell>
        </row>
        <row r="108">
          <cell r="L108">
            <v>57328</v>
          </cell>
        </row>
        <row r="109">
          <cell r="L109">
            <v>62385</v>
          </cell>
        </row>
        <row r="110">
          <cell r="L110">
            <v>192576</v>
          </cell>
        </row>
        <row r="111">
          <cell r="L111">
            <v>0</v>
          </cell>
        </row>
        <row r="112">
          <cell r="L112">
            <v>509647</v>
          </cell>
        </row>
        <row r="113">
          <cell r="L113">
            <v>153838</v>
          </cell>
        </row>
        <row r="114">
          <cell r="L114">
            <v>279425</v>
          </cell>
        </row>
        <row r="115">
          <cell r="L115">
            <v>2021</v>
          </cell>
        </row>
        <row r="116">
          <cell r="L116">
            <v>33622</v>
          </cell>
        </row>
        <row r="117">
          <cell r="L117">
            <v>26717.999999999985</v>
          </cell>
        </row>
        <row r="118">
          <cell r="L118">
            <v>28124</v>
          </cell>
        </row>
        <row r="119">
          <cell r="L119">
            <v>7852</v>
          </cell>
        </row>
        <row r="123">
          <cell r="L123">
            <v>20318426</v>
          </cell>
        </row>
        <row r="124">
          <cell r="L124">
            <v>204580</v>
          </cell>
        </row>
        <row r="125">
          <cell r="L125">
            <v>21661</v>
          </cell>
        </row>
        <row r="126">
          <cell r="L126">
            <v>62</v>
          </cell>
        </row>
        <row r="127">
          <cell r="L127">
            <v>149945</v>
          </cell>
        </row>
        <row r="128">
          <cell r="L128">
            <v>32792</v>
          </cell>
        </row>
        <row r="129">
          <cell r="L129">
            <v>56009</v>
          </cell>
        </row>
        <row r="130">
          <cell r="L130">
            <v>222987</v>
          </cell>
        </row>
        <row r="131">
          <cell r="L131">
            <v>0</v>
          </cell>
        </row>
        <row r="132">
          <cell r="L132">
            <v>482923</v>
          </cell>
        </row>
        <row r="133">
          <cell r="L133">
            <v>132779</v>
          </cell>
        </row>
        <row r="134">
          <cell r="L134">
            <v>171267</v>
          </cell>
        </row>
        <row r="135">
          <cell r="L135">
            <v>1770</v>
          </cell>
        </row>
        <row r="136">
          <cell r="L136">
            <v>68468.000000000044</v>
          </cell>
        </row>
        <row r="137">
          <cell r="L137">
            <v>23544.000000000044</v>
          </cell>
        </row>
        <row r="138">
          <cell r="L138">
            <v>36041</v>
          </cell>
        </row>
        <row r="139">
          <cell r="L139">
            <v>39280</v>
          </cell>
        </row>
        <row r="143">
          <cell r="L143">
            <v>21516468</v>
          </cell>
        </row>
        <row r="144">
          <cell r="L144">
            <v>250294</v>
          </cell>
        </row>
        <row r="145">
          <cell r="L145">
            <v>34878</v>
          </cell>
        </row>
        <row r="146">
          <cell r="L146">
            <v>528</v>
          </cell>
        </row>
        <row r="147">
          <cell r="L147">
            <v>174985</v>
          </cell>
        </row>
        <row r="148">
          <cell r="L148">
            <v>50623</v>
          </cell>
        </row>
        <row r="149">
          <cell r="L149">
            <v>65032</v>
          </cell>
        </row>
        <row r="150">
          <cell r="L150">
            <v>294664</v>
          </cell>
        </row>
        <row r="151">
          <cell r="L151">
            <v>0</v>
          </cell>
        </row>
        <row r="152">
          <cell r="L152">
            <v>612528</v>
          </cell>
        </row>
        <row r="153">
          <cell r="L153">
            <v>149346</v>
          </cell>
        </row>
        <row r="154">
          <cell r="L154">
            <v>196081</v>
          </cell>
        </row>
        <row r="155">
          <cell r="L155">
            <v>1574</v>
          </cell>
        </row>
        <row r="156">
          <cell r="L156">
            <v>100181.99999999993</v>
          </cell>
        </row>
        <row r="157">
          <cell r="L157">
            <v>54736.000000000022</v>
          </cell>
        </row>
        <row r="158">
          <cell r="L158">
            <v>30541</v>
          </cell>
        </row>
        <row r="159">
          <cell r="L159">
            <v>23077</v>
          </cell>
        </row>
        <row r="163">
          <cell r="L163">
            <v>18967456</v>
          </cell>
        </row>
        <row r="164">
          <cell r="L164">
            <v>359626</v>
          </cell>
        </row>
        <row r="165">
          <cell r="L165">
            <v>59187</v>
          </cell>
        </row>
        <row r="166">
          <cell r="L166">
            <v>1048</v>
          </cell>
        </row>
        <row r="167">
          <cell r="L167">
            <v>198605</v>
          </cell>
        </row>
        <row r="168">
          <cell r="L168">
            <v>105650</v>
          </cell>
        </row>
        <row r="169">
          <cell r="L169">
            <v>67719</v>
          </cell>
        </row>
        <row r="170">
          <cell r="L170">
            <v>456590</v>
          </cell>
        </row>
        <row r="171">
          <cell r="L171">
            <v>0</v>
          </cell>
        </row>
        <row r="172">
          <cell r="L172">
            <v>822292</v>
          </cell>
        </row>
        <row r="173">
          <cell r="L173">
            <v>194633</v>
          </cell>
        </row>
        <row r="174">
          <cell r="L174">
            <v>272264</v>
          </cell>
        </row>
        <row r="175">
          <cell r="L175">
            <v>5451</v>
          </cell>
        </row>
        <row r="176">
          <cell r="L176">
            <v>129458.99999999997</v>
          </cell>
        </row>
        <row r="177">
          <cell r="L177">
            <v>75840.000000000175</v>
          </cell>
        </row>
        <row r="178">
          <cell r="L178">
            <v>28441</v>
          </cell>
        </row>
        <row r="179">
          <cell r="L179">
            <v>22776</v>
          </cell>
        </row>
        <row r="183">
          <cell r="L183">
            <v>19964552</v>
          </cell>
        </row>
        <row r="184">
          <cell r="L184">
            <v>408236</v>
          </cell>
        </row>
        <row r="185">
          <cell r="L185">
            <v>78111</v>
          </cell>
        </row>
        <row r="186">
          <cell r="L186">
            <v>924</v>
          </cell>
        </row>
        <row r="187">
          <cell r="L187">
            <v>179816</v>
          </cell>
        </row>
        <row r="188">
          <cell r="L188">
            <v>46193</v>
          </cell>
        </row>
        <row r="189">
          <cell r="L189">
            <v>90809</v>
          </cell>
        </row>
        <row r="190">
          <cell r="L190">
            <v>570567</v>
          </cell>
        </row>
        <row r="191">
          <cell r="L191">
            <v>0</v>
          </cell>
        </row>
        <row r="192">
          <cell r="L192">
            <v>838890</v>
          </cell>
        </row>
        <row r="193">
          <cell r="L193">
            <v>236671</v>
          </cell>
        </row>
        <row r="194">
          <cell r="L194">
            <v>310981</v>
          </cell>
        </row>
        <row r="195">
          <cell r="L195">
            <v>3671</v>
          </cell>
        </row>
        <row r="196">
          <cell r="L196">
            <v>171878</v>
          </cell>
        </row>
        <row r="197">
          <cell r="L197">
            <v>82265.999999999971</v>
          </cell>
        </row>
        <row r="198">
          <cell r="L198">
            <v>34127</v>
          </cell>
        </row>
        <row r="199">
          <cell r="L199">
            <v>24538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3">
          <cell r="L203">
            <v>21889467</v>
          </cell>
        </row>
        <row r="204">
          <cell r="L204">
            <v>509314</v>
          </cell>
        </row>
        <row r="205">
          <cell r="L205">
            <v>115569</v>
          </cell>
        </row>
        <row r="206">
          <cell r="L206">
            <v>944</v>
          </cell>
        </row>
        <row r="207">
          <cell r="L207">
            <v>147391</v>
          </cell>
        </row>
        <row r="208">
          <cell r="L208">
            <v>51087</v>
          </cell>
        </row>
        <row r="209">
          <cell r="L209">
            <v>111710</v>
          </cell>
        </row>
        <row r="210">
          <cell r="L210">
            <v>540456</v>
          </cell>
        </row>
        <row r="211">
          <cell r="L211">
            <v>0</v>
          </cell>
        </row>
        <row r="212">
          <cell r="L212">
            <v>1079940</v>
          </cell>
        </row>
        <row r="213">
          <cell r="L213">
            <v>344457</v>
          </cell>
        </row>
        <row r="214">
          <cell r="L214">
            <v>363833</v>
          </cell>
        </row>
        <row r="215">
          <cell r="L215">
            <v>3683</v>
          </cell>
        </row>
        <row r="216">
          <cell r="L216">
            <v>250026</v>
          </cell>
        </row>
        <row r="217">
          <cell r="L217">
            <v>120842.00000000017</v>
          </cell>
        </row>
        <row r="218">
          <cell r="L218">
            <v>33582</v>
          </cell>
        </row>
        <row r="219">
          <cell r="L219">
            <v>25072</v>
          </cell>
        </row>
        <row r="223">
          <cell r="L223">
            <v>23563586</v>
          </cell>
        </row>
        <row r="224">
          <cell r="L224">
            <v>638851</v>
          </cell>
        </row>
        <row r="225">
          <cell r="L225">
            <v>140251</v>
          </cell>
        </row>
        <row r="226">
          <cell r="L226">
            <v>697</v>
          </cell>
        </row>
        <row r="227">
          <cell r="L227">
            <v>166994</v>
          </cell>
        </row>
        <row r="228">
          <cell r="L228">
            <v>64169</v>
          </cell>
        </row>
        <row r="229">
          <cell r="L229">
            <v>122484</v>
          </cell>
        </row>
        <row r="230">
          <cell r="L230">
            <v>656108</v>
          </cell>
        </row>
        <row r="231">
          <cell r="L231">
            <v>0</v>
          </cell>
        </row>
        <row r="232">
          <cell r="L232">
            <v>1217071</v>
          </cell>
        </row>
        <row r="233">
          <cell r="L233">
            <v>340975</v>
          </cell>
        </row>
        <row r="234">
          <cell r="L234">
            <v>481058</v>
          </cell>
        </row>
        <row r="235">
          <cell r="L235">
            <v>14074</v>
          </cell>
        </row>
        <row r="236">
          <cell r="L236">
            <v>158927</v>
          </cell>
        </row>
        <row r="237">
          <cell r="L237">
            <v>152864.0000000002</v>
          </cell>
        </row>
        <row r="238">
          <cell r="L238">
            <v>37494</v>
          </cell>
        </row>
        <row r="239">
          <cell r="L239">
            <v>29093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B9" sqref="A9:XFD9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1.140625" style="1" bestFit="1" customWidth="1"/>
    <col min="16" max="16384" width="9.140625" style="1"/>
  </cols>
  <sheetData>
    <row r="2" spans="1:15" ht="42.75" customHeight="1" x14ac:dyDescent="0.25">
      <c r="A2" s="92" t="s">
        <v>20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93" t="s">
        <v>19</v>
      </c>
      <c r="B4" s="95" t="s">
        <v>23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1:15" ht="22.5" customHeight="1" x14ac:dyDescent="0.25">
      <c r="A5" s="94"/>
      <c r="B5" s="5" t="s">
        <v>14</v>
      </c>
      <c r="C5" s="3">
        <v>28845629</v>
      </c>
      <c r="D5" s="3">
        <v>24930959</v>
      </c>
      <c r="E5" s="3">
        <v>27415945</v>
      </c>
      <c r="F5" s="3">
        <v>25128497</v>
      </c>
      <c r="G5" s="3">
        <v>24559486</v>
      </c>
      <c r="H5" s="3">
        <v>22439467</v>
      </c>
      <c r="I5" s="3">
        <v>21949841</v>
      </c>
      <c r="J5" s="3">
        <v>22674934</v>
      </c>
      <c r="K5" s="3">
        <v>22625162</v>
      </c>
      <c r="L5" s="3">
        <v>25169050</v>
      </c>
      <c r="M5" s="3">
        <v>24734479</v>
      </c>
      <c r="N5" s="3">
        <v>26344715</v>
      </c>
    </row>
    <row r="6" spans="1:15" ht="22.5" customHeight="1" x14ac:dyDescent="0.25">
      <c r="A6" s="94"/>
      <c r="B6" s="5" t="s">
        <v>15</v>
      </c>
      <c r="C6" s="3">
        <v>967944</v>
      </c>
      <c r="D6" s="3">
        <v>854366</v>
      </c>
      <c r="E6" s="3">
        <v>955057</v>
      </c>
      <c r="F6" s="3">
        <v>608449</v>
      </c>
      <c r="G6" s="3">
        <v>393884</v>
      </c>
      <c r="H6" s="3">
        <v>277250</v>
      </c>
      <c r="I6" s="3">
        <v>295797</v>
      </c>
      <c r="J6" s="3">
        <v>316089</v>
      </c>
      <c r="K6" s="3">
        <v>433026</v>
      </c>
      <c r="L6" s="3">
        <v>678982</v>
      </c>
      <c r="M6" s="3">
        <v>716962</v>
      </c>
      <c r="N6" s="3">
        <v>859089</v>
      </c>
    </row>
    <row r="7" spans="1:15" ht="22.5" customHeight="1" x14ac:dyDescent="0.25">
      <c r="A7" s="94"/>
      <c r="B7" s="5" t="s">
        <v>16</v>
      </c>
      <c r="C7" s="3">
        <v>1322527</v>
      </c>
      <c r="D7" s="3">
        <v>1151200</v>
      </c>
      <c r="E7" s="3">
        <v>1288966</v>
      </c>
      <c r="F7" s="3">
        <v>1067222</v>
      </c>
      <c r="G7" s="3">
        <v>799642</v>
      </c>
      <c r="H7" s="3">
        <v>601781</v>
      </c>
      <c r="I7" s="3">
        <v>596998</v>
      </c>
      <c r="J7" s="3">
        <v>569909</v>
      </c>
      <c r="K7" s="3">
        <v>640112</v>
      </c>
      <c r="L7" s="3">
        <v>904381</v>
      </c>
      <c r="M7" s="3">
        <v>964104</v>
      </c>
      <c r="N7" s="3">
        <v>1150301</v>
      </c>
    </row>
    <row r="8" spans="1:15" ht="22.5" customHeight="1" x14ac:dyDescent="0.25">
      <c r="A8" s="94"/>
      <c r="B8" s="5" t="s">
        <v>17</v>
      </c>
      <c r="C8" s="3">
        <v>523893</v>
      </c>
      <c r="D8" s="3">
        <v>482379</v>
      </c>
      <c r="E8" s="3">
        <v>488596</v>
      </c>
      <c r="F8" s="3">
        <v>430412</v>
      </c>
      <c r="G8" s="3">
        <v>303324</v>
      </c>
      <c r="H8" s="3">
        <v>220629</v>
      </c>
      <c r="I8" s="3">
        <v>215412</v>
      </c>
      <c r="J8" s="3">
        <v>225136</v>
      </c>
      <c r="K8" s="3">
        <v>285422</v>
      </c>
      <c r="L8" s="3">
        <v>357659</v>
      </c>
      <c r="M8" s="3">
        <v>439817</v>
      </c>
      <c r="N8" s="3">
        <v>498632</v>
      </c>
    </row>
    <row r="9" spans="1:15" ht="22.5" customHeight="1" x14ac:dyDescent="0.25">
      <c r="A9" s="94"/>
      <c r="B9" s="95" t="s">
        <v>24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</row>
    <row r="10" spans="1:15" ht="22.5" customHeight="1" x14ac:dyDescent="0.25">
      <c r="A10" s="94"/>
      <c r="B10" s="4"/>
      <c r="C10" s="3">
        <v>998172</v>
      </c>
      <c r="D10" s="3">
        <v>690296</v>
      </c>
      <c r="E10" s="3">
        <v>996870</v>
      </c>
      <c r="F10" s="3">
        <v>800479</v>
      </c>
      <c r="G10" s="3">
        <v>618616</v>
      </c>
      <c r="H10" s="3">
        <v>339940</v>
      </c>
      <c r="I10" s="3">
        <v>350324</v>
      </c>
      <c r="J10" s="3">
        <v>384006</v>
      </c>
      <c r="K10" s="3">
        <v>522202</v>
      </c>
      <c r="L10" s="3">
        <v>766629</v>
      </c>
      <c r="M10" s="3">
        <v>914074</v>
      </c>
      <c r="N10" s="3">
        <v>1058668</v>
      </c>
    </row>
    <row r="11" spans="1:15" ht="30.75" customHeight="1" x14ac:dyDescent="0.25">
      <c r="A11" s="94"/>
      <c r="B11" s="6" t="s">
        <v>18</v>
      </c>
      <c r="C11" s="3">
        <f t="shared" ref="C11:N11" si="0">SUM(C5:C8,C10)</f>
        <v>32658165</v>
      </c>
      <c r="D11" s="3">
        <f t="shared" si="0"/>
        <v>28109200</v>
      </c>
      <c r="E11" s="3">
        <f t="shared" si="0"/>
        <v>31145434</v>
      </c>
      <c r="F11" s="3">
        <f t="shared" si="0"/>
        <v>28035059</v>
      </c>
      <c r="G11" s="3">
        <f t="shared" si="0"/>
        <v>26674952</v>
      </c>
      <c r="H11" s="3">
        <f t="shared" si="0"/>
        <v>23879067</v>
      </c>
      <c r="I11" s="3">
        <f t="shared" si="0"/>
        <v>23408372</v>
      </c>
      <c r="J11" s="3">
        <f t="shared" si="0"/>
        <v>24170074</v>
      </c>
      <c r="K11" s="3">
        <f t="shared" si="0"/>
        <v>24505924</v>
      </c>
      <c r="L11" s="3">
        <f t="shared" si="0"/>
        <v>27876701</v>
      </c>
      <c r="M11" s="3">
        <f t="shared" si="0"/>
        <v>27769436</v>
      </c>
      <c r="N11" s="3">
        <f t="shared" si="0"/>
        <v>29911405</v>
      </c>
    </row>
    <row r="12" spans="1:15" ht="22.5" customHeight="1" x14ac:dyDescent="0.25">
      <c r="A12" s="98" t="s">
        <v>18</v>
      </c>
      <c r="B12" s="99"/>
      <c r="C12" s="10">
        <f>C11</f>
        <v>32658165</v>
      </c>
      <c r="D12" s="10">
        <f t="shared" ref="D12:N12" si="1">D11</f>
        <v>28109200</v>
      </c>
      <c r="E12" s="10">
        <f t="shared" si="1"/>
        <v>31145434</v>
      </c>
      <c r="F12" s="10">
        <f t="shared" si="1"/>
        <v>28035059</v>
      </c>
      <c r="G12" s="10">
        <f t="shared" si="1"/>
        <v>26674952</v>
      </c>
      <c r="H12" s="10">
        <f t="shared" si="1"/>
        <v>23879067</v>
      </c>
      <c r="I12" s="10">
        <f t="shared" si="1"/>
        <v>23408372</v>
      </c>
      <c r="J12" s="10">
        <f t="shared" si="1"/>
        <v>24170074</v>
      </c>
      <c r="K12" s="10">
        <f t="shared" si="1"/>
        <v>24505924</v>
      </c>
      <c r="L12" s="10">
        <f t="shared" si="1"/>
        <v>27876701</v>
      </c>
      <c r="M12" s="10">
        <f t="shared" si="1"/>
        <v>27769436</v>
      </c>
      <c r="N12" s="10">
        <f t="shared" si="1"/>
        <v>29911405</v>
      </c>
      <c r="O12" s="11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T28"/>
  <sheetViews>
    <sheetView zoomScale="70" zoomScaleNormal="70" workbookViewId="0">
      <selection activeCell="AO13" sqref="AO13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3" width="18.140625" style="29" hidden="1" customWidth="1"/>
    <col min="4" max="4" width="19.28515625" style="29" customWidth="1"/>
    <col min="5" max="6" width="19.28515625" style="29" hidden="1" customWidth="1"/>
    <col min="7" max="7" width="19.28515625" style="29" customWidth="1"/>
    <col min="8" max="9" width="19.28515625" style="29" hidden="1" customWidth="1"/>
    <col min="10" max="10" width="19.28515625" style="29" customWidth="1"/>
    <col min="11" max="12" width="19.28515625" style="29" hidden="1" customWidth="1"/>
    <col min="13" max="13" width="19.28515625" style="29" customWidth="1"/>
    <col min="14" max="16" width="19.28515625" style="29" hidden="1" customWidth="1"/>
    <col min="17" max="17" width="19.28515625" style="29" customWidth="1"/>
    <col min="18" max="20" width="19.28515625" style="29" hidden="1" customWidth="1"/>
    <col min="21" max="21" width="19.28515625" style="29" customWidth="1"/>
    <col min="22" max="24" width="19.28515625" style="29" hidden="1" customWidth="1"/>
    <col min="25" max="25" width="19.28515625" style="29" customWidth="1"/>
    <col min="26" max="28" width="19.28515625" style="29" hidden="1" customWidth="1"/>
    <col min="29" max="29" width="19.28515625" style="29" customWidth="1"/>
    <col min="30" max="32" width="19.28515625" style="29" hidden="1" customWidth="1"/>
    <col min="33" max="33" width="19.28515625" style="29" customWidth="1"/>
    <col min="34" max="36" width="19.28515625" style="29" hidden="1" customWidth="1"/>
    <col min="37" max="37" width="19.28515625" style="29" customWidth="1"/>
    <col min="38" max="40" width="19.28515625" style="29" hidden="1" customWidth="1"/>
    <col min="41" max="41" width="19.28515625" style="29" customWidth="1"/>
    <col min="42" max="44" width="19.28515625" style="29" hidden="1" customWidth="1"/>
    <col min="45" max="45" width="19.28515625" style="29" customWidth="1"/>
    <col min="46" max="46" width="14.140625" style="29" customWidth="1"/>
    <col min="47" max="16384" width="9.140625" style="29"/>
  </cols>
  <sheetData>
    <row r="2" spans="1:45" ht="42.75" customHeight="1" x14ac:dyDescent="0.25">
      <c r="A2" s="109" t="s">
        <v>36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</row>
    <row r="3" spans="1:45" s="33" customFormat="1" ht="33" customHeight="1" x14ac:dyDescent="0.25">
      <c r="A3" s="30" t="s">
        <v>0</v>
      </c>
      <c r="B3" s="31" t="s">
        <v>1</v>
      </c>
      <c r="C3" s="31"/>
      <c r="D3" s="32" t="s">
        <v>2</v>
      </c>
      <c r="E3" s="32"/>
      <c r="F3" s="32"/>
      <c r="G3" s="32" t="s">
        <v>3</v>
      </c>
      <c r="H3" s="32"/>
      <c r="I3" s="32"/>
      <c r="J3" s="32" t="s">
        <v>4</v>
      </c>
      <c r="K3" s="32"/>
      <c r="L3" s="32"/>
      <c r="M3" s="32" t="s">
        <v>5</v>
      </c>
      <c r="N3" s="32"/>
      <c r="O3" s="32"/>
      <c r="P3" s="32"/>
      <c r="Q3" s="32" t="s">
        <v>6</v>
      </c>
      <c r="R3" s="32"/>
      <c r="S3" s="32"/>
      <c r="T3" s="32"/>
      <c r="U3" s="32" t="s">
        <v>7</v>
      </c>
      <c r="V3" s="32"/>
      <c r="W3" s="32"/>
      <c r="X3" s="32"/>
      <c r="Y3" s="32" t="s">
        <v>8</v>
      </c>
      <c r="Z3" s="32"/>
      <c r="AA3" s="32"/>
      <c r="AB3" s="32"/>
      <c r="AC3" s="32" t="s">
        <v>9</v>
      </c>
      <c r="AD3" s="32"/>
      <c r="AE3" s="32"/>
      <c r="AF3" s="32"/>
      <c r="AG3" s="32" t="s">
        <v>10</v>
      </c>
      <c r="AH3" s="32"/>
      <c r="AI3" s="32"/>
      <c r="AJ3" s="32"/>
      <c r="AK3" s="32" t="s">
        <v>11</v>
      </c>
      <c r="AL3" s="32"/>
      <c r="AM3" s="32"/>
      <c r="AN3" s="32"/>
      <c r="AO3" s="32" t="s">
        <v>12</v>
      </c>
      <c r="AP3" s="32"/>
      <c r="AQ3" s="32"/>
      <c r="AR3" s="32"/>
      <c r="AS3" s="32" t="s">
        <v>13</v>
      </c>
    </row>
    <row r="4" spans="1:45" ht="22.5" customHeight="1" x14ac:dyDescent="0.25">
      <c r="A4" s="123" t="s">
        <v>34</v>
      </c>
      <c r="B4" s="125" t="s">
        <v>23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7"/>
    </row>
    <row r="5" spans="1:45" ht="22.5" customHeight="1" x14ac:dyDescent="0.25">
      <c r="A5" s="124"/>
      <c r="B5" s="49" t="s">
        <v>14</v>
      </c>
      <c r="C5" s="49">
        <v>0.96741129924325031</v>
      </c>
      <c r="D5" s="50">
        <f>'[10]Мурманская область'!$L$3+'[10]Мурманская область'!$L$10+'[10]Мурманская область'!$L$17</f>
        <v>25132985</v>
      </c>
      <c r="E5" s="50"/>
      <c r="F5" s="50">
        <v>0.97029639830152092</v>
      </c>
      <c r="G5" s="50">
        <f>'[10]Мурманская область'!$L$23+'[10]Мурманская область'!$L$30+'[10]Мурманская область'!$L$37</f>
        <v>20244600</v>
      </c>
      <c r="H5" s="50"/>
      <c r="I5" s="50">
        <v>1.0515142982590686</v>
      </c>
      <c r="J5" s="50">
        <f>'[10]Мурманская область'!$L$43+'[10]Мурманская область'!$L$50+'[10]Мурманская область'!$L$57</f>
        <v>22737519</v>
      </c>
      <c r="K5" s="50"/>
      <c r="L5" s="50">
        <v>0.92949420888481604</v>
      </c>
      <c r="M5" s="50">
        <f>'[10]Мурманская область'!$L$63+'[10]Мурманская область'!$L$70+'[10]Мурманская область'!$L$77</f>
        <v>21433879</v>
      </c>
      <c r="N5" s="50"/>
      <c r="O5" s="50"/>
      <c r="P5" s="50">
        <v>0.89886190891398998</v>
      </c>
      <c r="Q5" s="50">
        <f>'[10]Мурманская область'!$L$83+'[10]Мурманская область'!$L$90+'[10]Мурманская область'!$L$98</f>
        <v>22721367</v>
      </c>
      <c r="R5" s="50"/>
      <c r="S5" s="50"/>
      <c r="T5" s="50">
        <v>0.94780541851201405</v>
      </c>
      <c r="U5" s="50">
        <v>22159728</v>
      </c>
      <c r="V5" s="50"/>
      <c r="W5" s="50"/>
      <c r="X5" s="50">
        <v>1.0050872722060116</v>
      </c>
      <c r="Y5" s="50">
        <v>20705775</v>
      </c>
      <c r="Z5" s="50"/>
      <c r="AA5" s="50"/>
      <c r="AB5" s="50">
        <v>1.0632586297165609</v>
      </c>
      <c r="AC5" s="50">
        <v>20602040</v>
      </c>
      <c r="AD5" s="50"/>
      <c r="AE5" s="50"/>
      <c r="AF5" s="50">
        <v>0.89179565156068807</v>
      </c>
      <c r="AG5" s="50">
        <v>21062121</v>
      </c>
      <c r="AH5" s="50"/>
      <c r="AI5" s="50"/>
      <c r="AJ5" s="50">
        <v>1.0573079760568858</v>
      </c>
      <c r="AK5" s="50">
        <v>20541493</v>
      </c>
      <c r="AL5" s="50"/>
      <c r="AM5" s="50"/>
      <c r="AN5" s="50">
        <v>1.0937742589567008</v>
      </c>
      <c r="AO5" s="50">
        <v>22472156</v>
      </c>
      <c r="AP5" s="50"/>
      <c r="AQ5" s="50"/>
      <c r="AR5" s="50">
        <v>1.0807863059191118</v>
      </c>
      <c r="AS5" s="50">
        <v>25133793</v>
      </c>
    </row>
    <row r="6" spans="1:45" ht="22.5" customHeight="1" x14ac:dyDescent="0.25">
      <c r="A6" s="124"/>
      <c r="B6" s="49" t="s">
        <v>15</v>
      </c>
      <c r="C6" s="49">
        <v>1.0662531842422878</v>
      </c>
      <c r="D6" s="50">
        <f>'[10]Мурманская область'!$L$4+'[10]Мурманская область'!$L$11+'[10]Мурманская область'!$L$16</f>
        <v>700451</v>
      </c>
      <c r="E6" s="50"/>
      <c r="F6" s="50">
        <v>0.90708875056781213</v>
      </c>
      <c r="G6" s="50">
        <f>'[10]Мурманская область'!$L$24+'[10]Мурманская область'!$L$31+'[10]Мурманская область'!$L$36</f>
        <v>548981</v>
      </c>
      <c r="H6" s="50"/>
      <c r="I6" s="50">
        <v>0.92684045903707246</v>
      </c>
      <c r="J6" s="50">
        <f>'[10]Мурманская область'!$L$44+'[10]Мурманская область'!$L$51+'[10]Мурманская область'!$L$56</f>
        <v>593225</v>
      </c>
      <c r="K6" s="50"/>
      <c r="L6" s="50">
        <v>0.59516761901702253</v>
      </c>
      <c r="M6" s="50">
        <f>'[10]Мурманская область'!$L$64+'[10]Мурманская область'!$L$71+'[10]Мурманская область'!$L$76</f>
        <v>411253</v>
      </c>
      <c r="N6" s="50"/>
      <c r="O6" s="50"/>
      <c r="P6" s="50">
        <v>0.84190407023105307</v>
      </c>
      <c r="Q6" s="50">
        <f>'[10]Мурманская область'!$L$84+'[10]Мурманская область'!$L$91+'[10]Мурманская область'!$L$97</f>
        <v>327928</v>
      </c>
      <c r="R6" s="50"/>
      <c r="S6" s="50"/>
      <c r="T6" s="50">
        <v>0.64019887274359288</v>
      </c>
      <c r="U6" s="50">
        <v>253231</v>
      </c>
      <c r="V6" s="50"/>
      <c r="W6" s="50"/>
      <c r="X6" s="50">
        <v>1.2429691269790692</v>
      </c>
      <c r="Y6" s="50">
        <v>207853</v>
      </c>
      <c r="Z6" s="50"/>
      <c r="AA6" s="50"/>
      <c r="AB6" s="50">
        <v>1.2835691893000494</v>
      </c>
      <c r="AC6" s="50">
        <v>288793</v>
      </c>
      <c r="AD6" s="50"/>
      <c r="AE6" s="50"/>
      <c r="AF6" s="50">
        <v>1.3954878508086148</v>
      </c>
      <c r="AG6" s="50">
        <v>362289</v>
      </c>
      <c r="AH6" s="50"/>
      <c r="AI6" s="50"/>
      <c r="AJ6" s="50">
        <v>1.1861210219082572</v>
      </c>
      <c r="AK6" s="50">
        <v>297775</v>
      </c>
      <c r="AL6" s="50"/>
      <c r="AM6" s="50"/>
      <c r="AN6" s="50">
        <v>1.308949620247055</v>
      </c>
      <c r="AO6" s="50">
        <v>714560</v>
      </c>
      <c r="AP6" s="50"/>
      <c r="AQ6" s="50"/>
      <c r="AR6" s="50">
        <v>1.0506202755024099</v>
      </c>
      <c r="AS6" s="50">
        <v>712501</v>
      </c>
    </row>
    <row r="7" spans="1:45" ht="22.5" customHeight="1" x14ac:dyDescent="0.25">
      <c r="A7" s="124"/>
      <c r="B7" s="49" t="s">
        <v>16</v>
      </c>
      <c r="C7" s="49">
        <v>1.1404551970131342</v>
      </c>
      <c r="D7" s="50">
        <f>'[10]Мурманская область'!$L$5+'[10]Мурманская область'!$L$12+'[10]Мурманская область'!$L$18</f>
        <v>1538841</v>
      </c>
      <c r="E7" s="50"/>
      <c r="F7" s="50">
        <v>0.943040143811817</v>
      </c>
      <c r="G7" s="50">
        <f>'[10]Мурманская область'!$L$25+'[10]Мурманская область'!$L$32+'[10]Мурманская область'!$L$38</f>
        <v>1253858</v>
      </c>
      <c r="H7" s="50"/>
      <c r="I7" s="50">
        <v>0.98558939580382299</v>
      </c>
      <c r="J7" s="50">
        <f>'[10]Мурманская область'!$L$45+'[10]Мурманская область'!$L$52+'[10]Мурманская область'!$L$58</f>
        <v>1043446</v>
      </c>
      <c r="K7" s="50"/>
      <c r="L7" s="50">
        <v>0.81941582390591794</v>
      </c>
      <c r="M7" s="50">
        <f>'[10]Мурманская область'!$L$65+'[10]Мурманская область'!$L$72+'[10]Мурманская область'!$L$78</f>
        <v>1074323</v>
      </c>
      <c r="N7" s="50"/>
      <c r="O7" s="50"/>
      <c r="P7" s="50">
        <v>0.90426242343296648</v>
      </c>
      <c r="Q7" s="50">
        <f>'[10]Мурманская область'!$L$85+'[10]Мурманская область'!$L$92+'[10]Мурманская область'!$L$99</f>
        <v>1092547</v>
      </c>
      <c r="R7" s="50"/>
      <c r="S7" s="50"/>
      <c r="T7" s="50">
        <v>0.61115355395121618</v>
      </c>
      <c r="U7" s="50">
        <v>753422</v>
      </c>
      <c r="V7" s="50"/>
      <c r="W7" s="50"/>
      <c r="X7" s="50">
        <v>0.9386209195490105</v>
      </c>
      <c r="Y7" s="50">
        <v>481476</v>
      </c>
      <c r="Z7" s="50"/>
      <c r="AA7" s="50"/>
      <c r="AB7" s="50">
        <v>1.2540060115606937</v>
      </c>
      <c r="AC7" s="50">
        <v>548530</v>
      </c>
      <c r="AD7" s="50"/>
      <c r="AE7" s="50"/>
      <c r="AF7" s="50">
        <v>1.3421698156345554</v>
      </c>
      <c r="AG7" s="50">
        <v>889388</v>
      </c>
      <c r="AH7" s="50"/>
      <c r="AI7" s="50"/>
      <c r="AJ7" s="50">
        <v>1.0452874978020046</v>
      </c>
      <c r="AK7" s="50">
        <v>1080384</v>
      </c>
      <c r="AL7" s="50"/>
      <c r="AM7" s="50"/>
      <c r="AN7" s="50">
        <v>1.2922456283486554</v>
      </c>
      <c r="AO7" s="50">
        <v>1370861</v>
      </c>
      <c r="AP7" s="50"/>
      <c r="AQ7" s="50"/>
      <c r="AR7" s="50">
        <v>1.1348354190210488</v>
      </c>
      <c r="AS7" s="50">
        <v>1569486</v>
      </c>
    </row>
    <row r="8" spans="1:45" ht="22.5" customHeight="1" x14ac:dyDescent="0.25">
      <c r="A8" s="124"/>
      <c r="B8" s="49" t="s">
        <v>17</v>
      </c>
      <c r="C8" s="49">
        <v>1.0102044478472563</v>
      </c>
      <c r="D8" s="50">
        <f>'[10]Мурманская область'!$L$6+'[10]Мурманская область'!$L$13+'[10]Мурманская область'!$L$19+8</f>
        <v>449399</v>
      </c>
      <c r="E8" s="50"/>
      <c r="F8" s="50">
        <v>1.1099308417412723</v>
      </c>
      <c r="G8" s="50">
        <f>'[10]Мурманская область'!$L$26+'[10]Мурманская область'!$L$33+'[10]Мурманская область'!$L$39+3</f>
        <v>446239</v>
      </c>
      <c r="H8" s="50"/>
      <c r="I8" s="50">
        <v>0.89444343678982574</v>
      </c>
      <c r="J8" s="50">
        <f>'[10]Мурманская область'!$L$46+'[10]Мурманская область'!$L$53+'[10]Мурманская область'!$L$59+2</f>
        <v>329201</v>
      </c>
      <c r="K8" s="50"/>
      <c r="L8" s="50">
        <v>0.88337001318088826</v>
      </c>
      <c r="M8" s="50">
        <f>('[10]Мурманская область'!$L$66+'[10]Мурманская область'!$L$73+'[10]Мурманская область'!$L$79)+3</f>
        <v>345475</v>
      </c>
      <c r="N8" s="50"/>
      <c r="O8" s="50"/>
      <c r="P8" s="50">
        <v>0.89961313060386738</v>
      </c>
      <c r="Q8" s="50">
        <f>'[10]Мурманская область'!$L$86+'[10]Мурманская область'!$L$93+'[10]Мурманская область'!$L$100+4</f>
        <v>295237</v>
      </c>
      <c r="R8" s="50"/>
      <c r="S8" s="50"/>
      <c r="T8" s="50">
        <v>0.61020987890591283</v>
      </c>
      <c r="U8" s="50">
        <f>238627+2</f>
        <v>238629</v>
      </c>
      <c r="V8" s="50"/>
      <c r="W8" s="50"/>
      <c r="X8" s="50">
        <v>1.0584885587253172</v>
      </c>
      <c r="Y8" s="50">
        <f>7+248708</f>
        <v>248715</v>
      </c>
      <c r="Z8" s="50"/>
      <c r="AA8" s="50"/>
      <c r="AB8" s="50">
        <v>1.004822104994074</v>
      </c>
      <c r="AC8" s="50">
        <f>179869+4</f>
        <v>179873</v>
      </c>
      <c r="AD8" s="50"/>
      <c r="AE8" s="50"/>
      <c r="AF8" s="50">
        <v>1.2631104224244596</v>
      </c>
      <c r="AG8" s="50">
        <f>233094+3</f>
        <v>233097</v>
      </c>
      <c r="AH8" s="50"/>
      <c r="AI8" s="50"/>
      <c r="AJ8" s="50">
        <v>1.199926760047606</v>
      </c>
      <c r="AK8" s="50">
        <f>254431+3</f>
        <v>254434</v>
      </c>
      <c r="AL8" s="50"/>
      <c r="AM8" s="50"/>
      <c r="AN8" s="50">
        <v>1.41331217383343</v>
      </c>
      <c r="AO8" s="50">
        <f>321799+4</f>
        <v>321803</v>
      </c>
      <c r="AP8" s="50"/>
      <c r="AQ8" s="50"/>
      <c r="AR8" s="50">
        <v>1.0007746706974736</v>
      </c>
      <c r="AS8" s="50">
        <f>390610+2</f>
        <v>390612</v>
      </c>
    </row>
    <row r="9" spans="1:45" ht="22.5" customHeight="1" x14ac:dyDescent="0.25">
      <c r="A9" s="124"/>
      <c r="B9" s="125" t="s">
        <v>24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7"/>
    </row>
    <row r="10" spans="1:45" ht="22.5" customHeight="1" x14ac:dyDescent="0.25">
      <c r="A10" s="124"/>
      <c r="B10" s="51"/>
      <c r="C10" s="51">
        <v>1.3596831924453583</v>
      </c>
      <c r="D10" s="52">
        <f>SUM('[10]Мурманская область'!$L$7:$L$9,'[10]Мурманская область'!$L$14:$L$15)+28291</f>
        <v>1149884</v>
      </c>
      <c r="E10" s="52"/>
      <c r="F10" s="52">
        <v>1.0018350348305369</v>
      </c>
      <c r="G10" s="52">
        <f>SUM('[10]Мурманская область'!$L$27:$L$29,'[10]Мурманская область'!$L$34:$L$35)+23230</f>
        <v>1030356</v>
      </c>
      <c r="H10" s="52"/>
      <c r="I10" s="52">
        <v>0.56208407126186488</v>
      </c>
      <c r="J10" s="52">
        <f>SUM('[10]Мурманская область'!$L$47:$L$49,'[10]Мурманская область'!$L$54:$L$55)+22370</f>
        <v>938437</v>
      </c>
      <c r="K10" s="52"/>
      <c r="L10" s="52">
        <v>1.1938372630138003</v>
      </c>
      <c r="M10" s="52">
        <f>(SUM('[10]Мурманская область'!$L$67:$L$69,'[10]Мурманская область'!$L$74:$L$75))+18876</f>
        <v>844800</v>
      </c>
      <c r="N10" s="52"/>
      <c r="O10" s="52"/>
      <c r="P10" s="52">
        <v>0.98864660146464489</v>
      </c>
      <c r="Q10" s="52">
        <f>SUM('[10]Мурманская область'!$L$87:$L$89,'[10]Мурманская область'!$L$94:$L$96)+15937</f>
        <v>269068</v>
      </c>
      <c r="R10" s="52"/>
      <c r="S10" s="52"/>
      <c r="T10" s="52">
        <v>0.86978052271188566</v>
      </c>
      <c r="U10" s="52">
        <f>612188+2880+9361</f>
        <v>624429</v>
      </c>
      <c r="V10" s="52"/>
      <c r="W10" s="52"/>
      <c r="X10" s="52">
        <v>0.69796485419961274</v>
      </c>
      <c r="Y10" s="52">
        <f>270+2480+9300+427614</f>
        <v>439664</v>
      </c>
      <c r="Z10" s="52"/>
      <c r="AA10" s="52"/>
      <c r="AB10" s="52">
        <v>1.1803893888594787</v>
      </c>
      <c r="AC10" s="52">
        <f>479271+2439+2640+7589</f>
        <v>491939</v>
      </c>
      <c r="AD10" s="52"/>
      <c r="AE10" s="52"/>
      <c r="AF10" s="52">
        <v>1.3287276133906059</v>
      </c>
      <c r="AG10" s="52">
        <f>634915+4727+6560+9693</f>
        <v>655895</v>
      </c>
      <c r="AH10" s="52"/>
      <c r="AI10" s="52"/>
      <c r="AJ10" s="52">
        <v>0.97366099823586594</v>
      </c>
      <c r="AK10" s="50">
        <f>635619+14126</f>
        <v>649745</v>
      </c>
      <c r="AL10" s="52"/>
      <c r="AM10" s="52"/>
      <c r="AN10" s="52">
        <v>1.078649365696132</v>
      </c>
      <c r="AO10" s="52">
        <f>861827+7959+4680+12834</f>
        <v>887300</v>
      </c>
      <c r="AP10" s="52"/>
      <c r="AQ10" s="52"/>
      <c r="AR10" s="52">
        <v>1.2468197672923815</v>
      </c>
      <c r="AS10" s="52">
        <f>877534+8768+4920+12313</f>
        <v>903535</v>
      </c>
    </row>
    <row r="11" spans="1:45" ht="22.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30"/>
    </row>
    <row r="12" spans="1:45" ht="22.5" customHeight="1" x14ac:dyDescent="0.25">
      <c r="A12" s="123" t="s">
        <v>25</v>
      </c>
      <c r="B12" s="131" t="s">
        <v>23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3"/>
    </row>
    <row r="13" spans="1:45" ht="22.5" customHeight="1" x14ac:dyDescent="0.25">
      <c r="A13" s="124"/>
      <c r="B13" s="53" t="s">
        <v>16</v>
      </c>
      <c r="C13" s="53">
        <v>1.1227707181308821</v>
      </c>
      <c r="D13" s="50">
        <v>63440</v>
      </c>
      <c r="E13" s="50"/>
      <c r="F13" s="50">
        <v>0.94253004778290583</v>
      </c>
      <c r="G13" s="50">
        <f>'[10]Мурманская область'!$L$40</f>
        <v>70862</v>
      </c>
      <c r="H13" s="50"/>
      <c r="I13" s="50">
        <v>0.92845401851371223</v>
      </c>
      <c r="J13" s="50">
        <v>49036</v>
      </c>
      <c r="K13" s="50"/>
      <c r="L13" s="50">
        <v>0.77694744688781214</v>
      </c>
      <c r="M13" s="50">
        <v>46139</v>
      </c>
      <c r="N13" s="50"/>
      <c r="O13" s="50"/>
      <c r="P13" s="50">
        <v>0.81614736993595738</v>
      </c>
      <c r="Q13" s="50">
        <v>30237</v>
      </c>
      <c r="R13" s="50"/>
      <c r="S13" s="50"/>
      <c r="T13" s="50">
        <v>0.95380003526714863</v>
      </c>
      <c r="U13" s="50">
        <v>33666</v>
      </c>
      <c r="V13" s="50"/>
      <c r="W13" s="50"/>
      <c r="X13" s="50">
        <v>0.60972453318543174</v>
      </c>
      <c r="Y13" s="50">
        <v>23110</v>
      </c>
      <c r="Z13" s="50"/>
      <c r="AA13" s="50"/>
      <c r="AB13" s="50">
        <v>1.9508793208004851</v>
      </c>
      <c r="AC13" s="50">
        <v>30125</v>
      </c>
      <c r="AD13" s="50"/>
      <c r="AE13" s="50"/>
      <c r="AF13" s="50">
        <v>1.0843435913376853</v>
      </c>
      <c r="AG13" s="50">
        <v>38813</v>
      </c>
      <c r="AH13" s="50"/>
      <c r="AI13" s="50"/>
      <c r="AJ13" s="50">
        <v>0.89077878643096031</v>
      </c>
      <c r="AK13" s="50">
        <v>38482</v>
      </c>
      <c r="AL13" s="50"/>
      <c r="AM13" s="50"/>
      <c r="AN13" s="50">
        <v>1.2825305728384466</v>
      </c>
      <c r="AO13" s="50">
        <v>49939</v>
      </c>
      <c r="AP13" s="50"/>
      <c r="AQ13" s="50"/>
      <c r="AR13" s="50">
        <v>1.2031240198230977</v>
      </c>
      <c r="AS13" s="50">
        <v>54983</v>
      </c>
    </row>
    <row r="14" spans="1:45" ht="22.5" customHeight="1" x14ac:dyDescent="0.25">
      <c r="A14" s="124"/>
      <c r="B14" s="53" t="s">
        <v>17</v>
      </c>
      <c r="C14" s="53">
        <v>1.1388367191868216</v>
      </c>
      <c r="D14" s="50">
        <v>56060</v>
      </c>
      <c r="E14" s="50"/>
      <c r="F14" s="50">
        <v>0.99942091017813306</v>
      </c>
      <c r="G14" s="50">
        <f>'[10]Мурманская область'!$L$41</f>
        <v>50313</v>
      </c>
      <c r="H14" s="50"/>
      <c r="I14" s="50">
        <v>1.1084155235611985</v>
      </c>
      <c r="J14" s="50">
        <v>52460</v>
      </c>
      <c r="K14" s="50"/>
      <c r="L14" s="50">
        <v>0.88824492022364654</v>
      </c>
      <c r="M14" s="50">
        <v>49588</v>
      </c>
      <c r="N14" s="50"/>
      <c r="O14" s="50"/>
      <c r="P14" s="50">
        <v>1.0051559581382257</v>
      </c>
      <c r="Q14" s="50">
        <v>48231</v>
      </c>
      <c r="R14" s="50"/>
      <c r="S14" s="50"/>
      <c r="T14" s="50">
        <v>0.82718767899191747</v>
      </c>
      <c r="U14" s="50">
        <v>39967</v>
      </c>
      <c r="V14" s="50"/>
      <c r="W14" s="50"/>
      <c r="X14" s="50">
        <v>0.94169692866375332</v>
      </c>
      <c r="Y14" s="50">
        <v>19999</v>
      </c>
      <c r="Z14" s="50"/>
      <c r="AA14" s="50"/>
      <c r="AB14" s="50">
        <v>1.0335136195035866</v>
      </c>
      <c r="AC14" s="50">
        <v>18899</v>
      </c>
      <c r="AD14" s="50"/>
      <c r="AE14" s="50"/>
      <c r="AF14" s="50">
        <v>1.005897233201581</v>
      </c>
      <c r="AG14" s="50">
        <v>22712</v>
      </c>
      <c r="AH14" s="50"/>
      <c r="AI14" s="50"/>
      <c r="AJ14" s="50">
        <v>0.95943290948241988</v>
      </c>
      <c r="AK14" s="50">
        <v>22560</v>
      </c>
      <c r="AL14" s="50"/>
      <c r="AM14" s="50"/>
      <c r="AN14" s="50">
        <v>1.1897382130336489</v>
      </c>
      <c r="AO14" s="50">
        <v>23569</v>
      </c>
      <c r="AP14" s="50"/>
      <c r="AQ14" s="50"/>
      <c r="AR14" s="50">
        <v>0.87320995814055957</v>
      </c>
      <c r="AS14" s="50">
        <v>28835</v>
      </c>
    </row>
    <row r="15" spans="1:45" ht="22.5" customHeight="1" x14ac:dyDescent="0.25">
      <c r="A15" s="124"/>
      <c r="B15" s="125">
        <v>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7"/>
    </row>
    <row r="16" spans="1:45" ht="22.5" customHeight="1" x14ac:dyDescent="0.25">
      <c r="A16" s="124"/>
      <c r="B16" s="51"/>
      <c r="C16" s="51"/>
      <c r="D16" s="52">
        <v>0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1:46" ht="22.5" customHeight="1" x14ac:dyDescent="0.25">
      <c r="A17" s="54"/>
      <c r="B17" s="55"/>
      <c r="C17" s="55"/>
      <c r="D17" s="78"/>
      <c r="E17" s="78"/>
      <c r="F17" s="79"/>
      <c r="G17" s="78"/>
      <c r="H17" s="78"/>
      <c r="I17" s="80"/>
      <c r="J17" s="78"/>
      <c r="K17" s="78"/>
      <c r="L17" s="81"/>
      <c r="M17" s="78"/>
      <c r="N17" s="78"/>
      <c r="O17" s="78"/>
      <c r="P17" s="82"/>
      <c r="Q17" s="78"/>
      <c r="R17" s="78"/>
      <c r="S17" s="78"/>
      <c r="T17" s="83"/>
      <c r="U17" s="78"/>
      <c r="V17" s="78"/>
      <c r="W17" s="78"/>
      <c r="X17" s="84"/>
      <c r="Y17" s="78"/>
      <c r="Z17" s="78"/>
      <c r="AA17" s="78"/>
      <c r="AB17" s="85"/>
      <c r="AC17" s="78"/>
      <c r="AD17" s="78"/>
      <c r="AE17" s="78"/>
      <c r="AF17" s="86"/>
      <c r="AG17" s="78"/>
      <c r="AH17" s="78"/>
      <c r="AI17" s="78"/>
      <c r="AJ17" s="87"/>
      <c r="AK17" s="78"/>
      <c r="AL17" s="78"/>
      <c r="AM17" s="78"/>
      <c r="AN17" s="88"/>
      <c r="AO17" s="78"/>
      <c r="AP17" s="78"/>
      <c r="AQ17" s="78"/>
      <c r="AR17" s="89"/>
      <c r="AS17" s="78"/>
    </row>
    <row r="18" spans="1:46" ht="22.5" customHeight="1" x14ac:dyDescent="0.25">
      <c r="A18" s="121" t="s">
        <v>18</v>
      </c>
      <c r="B18" s="122"/>
      <c r="C18" s="77"/>
      <c r="D18" s="57">
        <f>D5+D6+D7+D8+D10+D13+D14+D16</f>
        <v>29091060</v>
      </c>
      <c r="E18" s="57"/>
      <c r="F18" s="57"/>
      <c r="G18" s="57">
        <f t="shared" ref="G18:AS18" si="0">G5+G6+G7+G8+G10+G13+G14+G16</f>
        <v>23645209</v>
      </c>
      <c r="H18" s="57"/>
      <c r="I18" s="57"/>
      <c r="J18" s="57">
        <f t="shared" si="0"/>
        <v>25743324</v>
      </c>
      <c r="K18" s="57"/>
      <c r="L18" s="57"/>
      <c r="M18" s="57">
        <f t="shared" si="0"/>
        <v>24205457</v>
      </c>
      <c r="N18" s="57"/>
      <c r="O18" s="57"/>
      <c r="P18" s="57"/>
      <c r="Q18" s="57">
        <f t="shared" si="0"/>
        <v>24784615</v>
      </c>
      <c r="R18" s="57"/>
      <c r="S18" s="57"/>
      <c r="T18" s="57"/>
      <c r="U18" s="57">
        <f t="shared" si="0"/>
        <v>24103072</v>
      </c>
      <c r="V18" s="57"/>
      <c r="W18" s="57"/>
      <c r="X18" s="57"/>
      <c r="Y18" s="57">
        <f t="shared" si="0"/>
        <v>22126592</v>
      </c>
      <c r="Z18" s="57"/>
      <c r="AA18" s="57"/>
      <c r="AB18" s="57"/>
      <c r="AC18" s="57">
        <f>AC5+AC6+AC7+AC8+AC10+AC13+AC14+AC16</f>
        <v>22160199</v>
      </c>
      <c r="AD18" s="57"/>
      <c r="AE18" s="57"/>
      <c r="AF18" s="57"/>
      <c r="AG18" s="57">
        <f t="shared" si="0"/>
        <v>23264315</v>
      </c>
      <c r="AH18" s="57"/>
      <c r="AI18" s="57"/>
      <c r="AJ18" s="57"/>
      <c r="AK18" s="57">
        <f t="shared" si="0"/>
        <v>22884873</v>
      </c>
      <c r="AL18" s="57"/>
      <c r="AM18" s="57"/>
      <c r="AN18" s="57"/>
      <c r="AO18" s="57">
        <f t="shared" si="0"/>
        <v>25840188</v>
      </c>
      <c r="AP18" s="57"/>
      <c r="AQ18" s="57"/>
      <c r="AR18" s="57"/>
      <c r="AS18" s="57">
        <f t="shared" si="0"/>
        <v>28793745</v>
      </c>
      <c r="AT18" s="41"/>
    </row>
    <row r="20" spans="1:46" x14ac:dyDescent="0.25">
      <c r="AO20" s="43"/>
      <c r="AP20" s="43"/>
      <c r="AQ20" s="43"/>
      <c r="AR20" s="43"/>
    </row>
    <row r="21" spans="1:46" x14ac:dyDescent="0.25">
      <c r="AO21" s="41"/>
      <c r="AP21" s="41"/>
      <c r="AQ21" s="41"/>
      <c r="AR21" s="41"/>
    </row>
    <row r="23" spans="1:46" x14ac:dyDescent="0.25">
      <c r="AK23" s="41"/>
      <c r="AL23" s="41"/>
      <c r="AM23" s="41"/>
      <c r="AN23" s="41"/>
    </row>
    <row r="28" spans="1:46" x14ac:dyDescent="0.25">
      <c r="J28" s="41"/>
      <c r="K28" s="41"/>
      <c r="L28" s="41"/>
      <c r="M28" s="41"/>
      <c r="N28" s="41"/>
      <c r="O28" s="41"/>
      <c r="P28" s="41"/>
    </row>
  </sheetData>
  <mergeCells count="9">
    <mergeCell ref="A18:B18"/>
    <mergeCell ref="A2:AS2"/>
    <mergeCell ref="A4:A10"/>
    <mergeCell ref="B4:AS4"/>
    <mergeCell ref="B9:AS9"/>
    <mergeCell ref="A11:AS11"/>
    <mergeCell ref="A12:A16"/>
    <mergeCell ref="B12:AS12"/>
    <mergeCell ref="B15:AS1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topLeftCell="D4" zoomScale="85" zoomScaleNormal="85" workbookViewId="0">
      <selection activeCell="A11" sqref="A11:N11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14" width="19.28515625" style="29" customWidth="1"/>
    <col min="15" max="15" width="11.140625" style="29" bestFit="1" customWidth="1"/>
    <col min="16" max="16" width="9.140625" style="29"/>
    <col min="17" max="17" width="10.28515625" style="29" bestFit="1" customWidth="1"/>
    <col min="18" max="16384" width="9.140625" style="29"/>
  </cols>
  <sheetData>
    <row r="2" spans="1:17" ht="42.75" customHeight="1" x14ac:dyDescent="0.25">
      <c r="A2" s="109" t="s">
        <v>37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7" s="33" customFormat="1" ht="33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</row>
    <row r="4" spans="1:17" ht="22.5" customHeight="1" x14ac:dyDescent="0.25">
      <c r="A4" s="123" t="s">
        <v>34</v>
      </c>
      <c r="B4" s="125" t="s">
        <v>23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1:17" ht="22.5" customHeight="1" x14ac:dyDescent="0.25">
      <c r="A5" s="124"/>
      <c r="B5" s="49" t="s">
        <v>14</v>
      </c>
      <c r="C5" s="50">
        <v>26267817</v>
      </c>
      <c r="D5" s="50">
        <v>23520825</v>
      </c>
      <c r="E5" s="50">
        <v>25710249</v>
      </c>
      <c r="F5" s="50">
        <v>22288366</v>
      </c>
      <c r="G5" s="50">
        <v>21239873</v>
      </c>
      <c r="H5" s="50">
        <v>20741220</v>
      </c>
      <c r="I5" s="50">
        <v>21996494</v>
      </c>
      <c r="J5" s="50">
        <v>20479423</v>
      </c>
      <c r="K5" s="50">
        <v>20902366</v>
      </c>
      <c r="L5" s="50">
        <v>23170171</v>
      </c>
      <c r="M5" s="50">
        <v>26007739</v>
      </c>
      <c r="N5" s="50">
        <v>25939307</v>
      </c>
      <c r="O5" s="41"/>
      <c r="Q5" s="41"/>
    </row>
    <row r="6" spans="1:17" ht="22.5" customHeight="1" x14ac:dyDescent="0.25">
      <c r="A6" s="124"/>
      <c r="B6" s="49" t="s">
        <v>15</v>
      </c>
      <c r="C6" s="50">
        <v>713497</v>
      </c>
      <c r="D6" s="50">
        <v>650150</v>
      </c>
      <c r="E6" s="50">
        <v>678598</v>
      </c>
      <c r="F6" s="50">
        <v>473005</v>
      </c>
      <c r="G6" s="50">
        <v>328818</v>
      </c>
      <c r="H6" s="50">
        <v>314523</v>
      </c>
      <c r="I6" s="50">
        <v>277376</v>
      </c>
      <c r="J6" s="50">
        <v>272396</v>
      </c>
      <c r="K6" s="50">
        <v>387988</v>
      </c>
      <c r="L6" s="50">
        <v>561977</v>
      </c>
      <c r="M6" s="50">
        <v>724295</v>
      </c>
      <c r="N6" s="50">
        <v>825079</v>
      </c>
      <c r="O6" s="41"/>
      <c r="Q6" s="41"/>
    </row>
    <row r="7" spans="1:17" ht="22.5" customHeight="1" x14ac:dyDescent="0.25">
      <c r="A7" s="124"/>
      <c r="B7" s="49" t="s">
        <v>16</v>
      </c>
      <c r="C7" s="50">
        <v>1454593</v>
      </c>
      <c r="D7" s="50">
        <v>1462949</v>
      </c>
      <c r="E7" s="50">
        <v>1544798</v>
      </c>
      <c r="F7" s="50">
        <v>1239580</v>
      </c>
      <c r="G7" s="50">
        <v>967021</v>
      </c>
      <c r="H7" s="50">
        <v>790456</v>
      </c>
      <c r="I7" s="50">
        <v>590479</v>
      </c>
      <c r="J7" s="50">
        <v>627683</v>
      </c>
      <c r="K7" s="50">
        <v>755708</v>
      </c>
      <c r="L7" s="50">
        <v>1272620</v>
      </c>
      <c r="M7" s="50">
        <v>1660234</v>
      </c>
      <c r="N7" s="50">
        <v>1859543</v>
      </c>
      <c r="O7" s="41"/>
      <c r="Q7" s="41"/>
    </row>
    <row r="8" spans="1:17" ht="22.5" customHeight="1" x14ac:dyDescent="0.25">
      <c r="A8" s="124"/>
      <c r="B8" s="49" t="s">
        <v>17</v>
      </c>
      <c r="C8" s="50">
        <v>346251</v>
      </c>
      <c r="D8" s="50">
        <v>304939</v>
      </c>
      <c r="E8" s="50">
        <v>307860</v>
      </c>
      <c r="F8" s="50">
        <v>331057</v>
      </c>
      <c r="G8" s="50">
        <v>251455</v>
      </c>
      <c r="H8" s="50">
        <v>194777</v>
      </c>
      <c r="I8" s="50">
        <v>152389</v>
      </c>
      <c r="J8" s="50">
        <v>198620</v>
      </c>
      <c r="K8" s="50">
        <v>211213</v>
      </c>
      <c r="L8" s="50">
        <v>263258</v>
      </c>
      <c r="M8" s="50">
        <v>360480</v>
      </c>
      <c r="N8" s="50">
        <v>398517</v>
      </c>
      <c r="O8" s="41"/>
      <c r="P8" s="41"/>
      <c r="Q8" s="41"/>
    </row>
    <row r="9" spans="1:17" ht="22.5" customHeight="1" x14ac:dyDescent="0.25">
      <c r="A9" s="124"/>
      <c r="B9" s="125" t="s">
        <v>24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  <c r="Q9" s="41"/>
    </row>
    <row r="10" spans="1:17" ht="22.5" customHeight="1" x14ac:dyDescent="0.25">
      <c r="A10" s="124"/>
      <c r="B10" s="51"/>
      <c r="C10" s="52">
        <v>1026618</v>
      </c>
      <c r="D10" s="52">
        <v>955852</v>
      </c>
      <c r="E10" s="52">
        <v>1118336</v>
      </c>
      <c r="F10" s="52">
        <v>849346</v>
      </c>
      <c r="G10" s="52">
        <v>693923</v>
      </c>
      <c r="H10" s="52">
        <v>670247</v>
      </c>
      <c r="I10" s="52">
        <v>535463</v>
      </c>
      <c r="J10" s="52">
        <v>537050</v>
      </c>
      <c r="K10" s="52">
        <v>704181</v>
      </c>
      <c r="L10" s="50">
        <v>703582</v>
      </c>
      <c r="M10" s="52">
        <v>963230</v>
      </c>
      <c r="N10" s="52">
        <v>1049319</v>
      </c>
      <c r="O10" s="41"/>
      <c r="Q10" s="41"/>
    </row>
    <row r="11" spans="1:17" ht="22.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1:17" ht="22.5" customHeight="1" x14ac:dyDescent="0.25">
      <c r="A12" s="123" t="s">
        <v>25</v>
      </c>
      <c r="B12" s="131" t="s">
        <v>23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</row>
    <row r="13" spans="1:17" ht="22.5" customHeight="1" x14ac:dyDescent="0.25">
      <c r="A13" s="124"/>
      <c r="B13" s="53" t="s">
        <v>16</v>
      </c>
      <c r="C13" s="50">
        <v>58363</v>
      </c>
      <c r="D13" s="50">
        <v>34266</v>
      </c>
      <c r="E13" s="50">
        <v>58521</v>
      </c>
      <c r="F13" s="50">
        <v>44405</v>
      </c>
      <c r="G13" s="50">
        <v>31052</v>
      </c>
      <c r="H13" s="50">
        <v>41513</v>
      </c>
      <c r="I13" s="50">
        <v>31651</v>
      </c>
      <c r="J13" s="50">
        <v>31882</v>
      </c>
      <c r="K13" s="50">
        <v>38855</v>
      </c>
      <c r="L13" s="50">
        <v>36833</v>
      </c>
      <c r="M13" s="50">
        <v>46429</v>
      </c>
      <c r="N13" s="50">
        <v>53069</v>
      </c>
    </row>
    <row r="14" spans="1:17" ht="22.5" customHeight="1" x14ac:dyDescent="0.25">
      <c r="A14" s="124"/>
      <c r="B14" s="53" t="s">
        <v>17</v>
      </c>
      <c r="C14" s="50">
        <v>23462</v>
      </c>
      <c r="D14" s="50">
        <v>30175</v>
      </c>
      <c r="E14" s="50">
        <v>29651</v>
      </c>
      <c r="F14" s="50">
        <v>27282</v>
      </c>
      <c r="G14" s="50">
        <v>29857</v>
      </c>
      <c r="H14" s="50">
        <v>26898</v>
      </c>
      <c r="I14" s="50">
        <v>22768</v>
      </c>
      <c r="J14" s="50">
        <v>22458</v>
      </c>
      <c r="K14" s="50">
        <v>29457</v>
      </c>
      <c r="L14" s="50">
        <v>26301</v>
      </c>
      <c r="M14" s="50">
        <v>25895</v>
      </c>
      <c r="N14" s="50">
        <v>32026</v>
      </c>
    </row>
    <row r="15" spans="1:17" ht="22.5" customHeight="1" x14ac:dyDescent="0.25">
      <c r="A15" s="124"/>
      <c r="B15" s="125">
        <v>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7"/>
    </row>
    <row r="16" spans="1:17" ht="22.5" customHeight="1" x14ac:dyDescent="0.25">
      <c r="A16" s="124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5" ht="22.5" customHeight="1" x14ac:dyDescent="0.25">
      <c r="A17" s="54"/>
      <c r="B17" s="55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5" ht="22.5" customHeight="1" x14ac:dyDescent="0.25">
      <c r="A18" s="121" t="s">
        <v>18</v>
      </c>
      <c r="B18" s="122"/>
      <c r="C18" s="57">
        <f>C5+C6+C7+C8+C10+C13+C14+C16</f>
        <v>29890601</v>
      </c>
      <c r="D18" s="57">
        <f t="shared" ref="D18:N18" si="0">D5+D6+D7+D8+D10+D13+D14+D16</f>
        <v>26959156</v>
      </c>
      <c r="E18" s="57">
        <f t="shared" si="0"/>
        <v>29448013</v>
      </c>
      <c r="F18" s="57">
        <f t="shared" si="0"/>
        <v>25253041</v>
      </c>
      <c r="G18" s="57">
        <f t="shared" si="0"/>
        <v>23541999</v>
      </c>
      <c r="H18" s="57">
        <f t="shared" si="0"/>
        <v>22779634</v>
      </c>
      <c r="I18" s="57">
        <f t="shared" si="0"/>
        <v>23606620</v>
      </c>
      <c r="J18" s="57">
        <f>J5+J6+J7+J8+J10+J13+J14+J16</f>
        <v>22169512</v>
      </c>
      <c r="K18" s="57">
        <f t="shared" si="0"/>
        <v>23029768</v>
      </c>
      <c r="L18" s="57">
        <f t="shared" si="0"/>
        <v>26034742</v>
      </c>
      <c r="M18" s="57">
        <f t="shared" si="0"/>
        <v>29788302</v>
      </c>
      <c r="N18" s="57">
        <f t="shared" si="0"/>
        <v>30156860</v>
      </c>
      <c r="O18" s="41"/>
    </row>
    <row r="20" spans="1:15" x14ac:dyDescent="0.25">
      <c r="M20" s="43"/>
    </row>
    <row r="21" spans="1:15" x14ac:dyDescent="0.25">
      <c r="M21" s="41"/>
    </row>
    <row r="23" spans="1:15" x14ac:dyDescent="0.25">
      <c r="L23" s="41"/>
    </row>
    <row r="28" spans="1:15" x14ac:dyDescent="0.25">
      <c r="E28" s="41"/>
      <c r="F28" s="41"/>
    </row>
  </sheetData>
  <mergeCells count="9">
    <mergeCell ref="A18:B18"/>
    <mergeCell ref="A2:N2"/>
    <mergeCell ref="A4:A10"/>
    <mergeCell ref="B4:N4"/>
    <mergeCell ref="B9:N9"/>
    <mergeCell ref="A11:N11"/>
    <mergeCell ref="A12:A16"/>
    <mergeCell ref="B12:N12"/>
    <mergeCell ref="B15:N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tabSelected="1" zoomScale="70" zoomScaleNormal="70" workbookViewId="0">
      <selection activeCell="O5" sqref="O5:Q11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14" width="19.28515625" style="29" customWidth="1"/>
    <col min="15" max="15" width="11.140625" style="29" bestFit="1" customWidth="1"/>
    <col min="16" max="16" width="10.7109375" style="29" bestFit="1" customWidth="1"/>
    <col min="17" max="17" width="10.28515625" style="29" bestFit="1" customWidth="1"/>
    <col min="18" max="16384" width="9.140625" style="29"/>
  </cols>
  <sheetData>
    <row r="2" spans="1:17" ht="42.75" customHeight="1" x14ac:dyDescent="0.25">
      <c r="A2" s="109" t="s">
        <v>38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7" s="33" customFormat="1" ht="33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</row>
    <row r="4" spans="1:17" ht="22.5" customHeight="1" x14ac:dyDescent="0.25">
      <c r="A4" s="123" t="s">
        <v>34</v>
      </c>
      <c r="B4" s="125" t="s">
        <v>23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1:17" ht="22.5" customHeight="1" x14ac:dyDescent="0.25">
      <c r="A5" s="124"/>
      <c r="B5" s="49" t="s">
        <v>14</v>
      </c>
      <c r="C5" s="50">
        <v>26604117</v>
      </c>
      <c r="D5" s="50">
        <v>24955036</v>
      </c>
      <c r="E5" s="50">
        <v>25158570</v>
      </c>
      <c r="F5" s="50">
        <v>22365355</v>
      </c>
      <c r="G5" s="50">
        <v>22126905</v>
      </c>
      <c r="H5" s="50">
        <v>19304767</v>
      </c>
      <c r="I5" s="50">
        <v>20058272</v>
      </c>
      <c r="J5" s="50">
        <v>19614319</v>
      </c>
      <c r="K5" s="50">
        <v>18445810</v>
      </c>
      <c r="L5" s="50">
        <v>20903084</v>
      </c>
      <c r="M5" s="50">
        <v>22254861</v>
      </c>
      <c r="N5" s="50">
        <v>25567039</v>
      </c>
      <c r="O5" s="41"/>
      <c r="P5" s="41"/>
      <c r="Q5" s="41"/>
    </row>
    <row r="6" spans="1:17" ht="22.5" customHeight="1" x14ac:dyDescent="0.25">
      <c r="A6" s="124"/>
      <c r="B6" s="49" t="s">
        <v>15</v>
      </c>
      <c r="C6" s="50">
        <v>802796</v>
      </c>
      <c r="D6" s="50">
        <v>703239</v>
      </c>
      <c r="E6" s="50">
        <v>658384</v>
      </c>
      <c r="F6" s="50">
        <v>595199</v>
      </c>
      <c r="G6" s="50">
        <v>424264</v>
      </c>
      <c r="H6" s="50">
        <v>260227</v>
      </c>
      <c r="I6" s="50">
        <v>226055</v>
      </c>
      <c r="J6" s="50">
        <v>237468</v>
      </c>
      <c r="K6" s="50">
        <v>329022</v>
      </c>
      <c r="L6" s="50">
        <v>449858</v>
      </c>
      <c r="M6" s="50">
        <v>599044</v>
      </c>
      <c r="N6" s="50">
        <v>838898</v>
      </c>
      <c r="O6" s="41"/>
      <c r="P6" s="41"/>
      <c r="Q6" s="41"/>
    </row>
    <row r="7" spans="1:17" ht="22.5" customHeight="1" x14ac:dyDescent="0.25">
      <c r="A7" s="124"/>
      <c r="B7" s="49" t="s">
        <v>16</v>
      </c>
      <c r="C7" s="50">
        <v>1935409</v>
      </c>
      <c r="D7" s="50">
        <v>1699022</v>
      </c>
      <c r="E7" s="50">
        <v>1436960</v>
      </c>
      <c r="F7" s="50">
        <v>1396238</v>
      </c>
      <c r="G7" s="50">
        <v>1199085</v>
      </c>
      <c r="H7" s="50">
        <v>668727</v>
      </c>
      <c r="I7" s="50">
        <v>574509</v>
      </c>
      <c r="J7" s="50">
        <v>570102</v>
      </c>
      <c r="K7" s="50">
        <v>692871</v>
      </c>
      <c r="L7" s="50">
        <v>1106382</v>
      </c>
      <c r="M7" s="50">
        <v>1278346</v>
      </c>
      <c r="N7" s="50">
        <v>1659434</v>
      </c>
      <c r="O7" s="41"/>
      <c r="P7" s="41"/>
      <c r="Q7" s="41"/>
    </row>
    <row r="8" spans="1:17" ht="22.5" customHeight="1" x14ac:dyDescent="0.25">
      <c r="A8" s="124"/>
      <c r="B8" s="49" t="s">
        <v>17</v>
      </c>
      <c r="C8" s="50">
        <v>436068</v>
      </c>
      <c r="D8" s="50">
        <v>350683</v>
      </c>
      <c r="E8" s="50">
        <v>306376</v>
      </c>
      <c r="F8" s="50">
        <v>299214</v>
      </c>
      <c r="G8" s="50">
        <v>239051</v>
      </c>
      <c r="H8" s="50">
        <v>168382</v>
      </c>
      <c r="I8" s="50">
        <v>166385</v>
      </c>
      <c r="J8" s="50">
        <v>173535</v>
      </c>
      <c r="K8" s="50">
        <v>208207</v>
      </c>
      <c r="L8" s="50">
        <v>254633</v>
      </c>
      <c r="M8" s="50">
        <v>279503</v>
      </c>
      <c r="N8" s="50">
        <v>354496</v>
      </c>
      <c r="O8" s="41"/>
      <c r="P8" s="41"/>
      <c r="Q8" s="41"/>
    </row>
    <row r="9" spans="1:17" ht="22.5" customHeight="1" x14ac:dyDescent="0.25">
      <c r="A9" s="124"/>
      <c r="B9" s="125" t="s">
        <v>24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  <c r="P9" s="41"/>
      <c r="Q9" s="41"/>
    </row>
    <row r="10" spans="1:17" ht="22.5" customHeight="1" x14ac:dyDescent="0.25">
      <c r="A10" s="124"/>
      <c r="B10" s="51"/>
      <c r="C10" s="52">
        <v>1204041</v>
      </c>
      <c r="D10" s="52">
        <v>1175599</v>
      </c>
      <c r="E10" s="52">
        <v>882561</v>
      </c>
      <c r="F10" s="52">
        <v>927881</v>
      </c>
      <c r="G10" s="52">
        <v>774521</v>
      </c>
      <c r="H10" s="52">
        <v>748574</v>
      </c>
      <c r="I10" s="52">
        <v>460007</v>
      </c>
      <c r="J10" s="52">
        <v>531229</v>
      </c>
      <c r="K10" s="52">
        <v>433242</v>
      </c>
      <c r="L10" s="50">
        <v>633080</v>
      </c>
      <c r="M10" s="52">
        <v>831450</v>
      </c>
      <c r="N10" s="52">
        <v>1010692</v>
      </c>
      <c r="O10" s="41"/>
      <c r="P10" s="41"/>
      <c r="Q10" s="41"/>
    </row>
    <row r="11" spans="1:17" ht="22.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1:17" ht="22.5" customHeight="1" x14ac:dyDescent="0.25">
      <c r="A12" s="123" t="s">
        <v>25</v>
      </c>
      <c r="B12" s="131" t="s">
        <v>23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</row>
    <row r="13" spans="1:17" ht="22.5" customHeight="1" x14ac:dyDescent="0.25">
      <c r="A13" s="124"/>
      <c r="B13" s="53" t="s">
        <v>16</v>
      </c>
      <c r="C13" s="50">
        <v>56940</v>
      </c>
      <c r="D13" s="50">
        <v>43809</v>
      </c>
      <c r="E13" s="50">
        <v>36933</v>
      </c>
      <c r="F13" s="50">
        <v>45072</v>
      </c>
      <c r="G13" s="50">
        <v>26717</v>
      </c>
      <c r="H13" s="50">
        <v>19872</v>
      </c>
      <c r="I13" s="50">
        <v>23483</v>
      </c>
      <c r="J13" s="50">
        <v>38572</v>
      </c>
      <c r="K13" s="50">
        <v>27489</v>
      </c>
      <c r="L13" s="50">
        <v>29933</v>
      </c>
      <c r="M13" s="50">
        <v>43986</v>
      </c>
      <c r="N13" s="50">
        <v>46088</v>
      </c>
    </row>
    <row r="14" spans="1:17" ht="22.5" customHeight="1" x14ac:dyDescent="0.25">
      <c r="A14" s="124"/>
      <c r="B14" s="53" t="s">
        <v>17</v>
      </c>
      <c r="C14" s="50">
        <v>33941</v>
      </c>
      <c r="D14" s="50">
        <v>29731</v>
      </c>
      <c r="E14" s="50">
        <v>31990</v>
      </c>
      <c r="F14" s="50">
        <v>26445</v>
      </c>
      <c r="G14" s="50">
        <v>22183</v>
      </c>
      <c r="H14" s="50">
        <v>22421</v>
      </c>
      <c r="I14" s="50">
        <v>23427</v>
      </c>
      <c r="J14" s="50">
        <v>21261</v>
      </c>
      <c r="K14" s="50">
        <v>21993</v>
      </c>
      <c r="L14" s="50">
        <v>26024</v>
      </c>
      <c r="M14" s="50">
        <v>28275</v>
      </c>
      <c r="N14" s="50">
        <v>29309</v>
      </c>
    </row>
    <row r="15" spans="1:17" ht="22.5" customHeight="1" x14ac:dyDescent="0.25">
      <c r="A15" s="124"/>
      <c r="B15" s="125">
        <v>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7"/>
    </row>
    <row r="16" spans="1:17" ht="22.5" customHeight="1" x14ac:dyDescent="0.25">
      <c r="A16" s="124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5" ht="22.5" customHeight="1" x14ac:dyDescent="0.25">
      <c r="A17" s="54"/>
      <c r="B17" s="55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5" ht="22.5" customHeight="1" x14ac:dyDescent="0.25">
      <c r="A18" s="121" t="s">
        <v>18</v>
      </c>
      <c r="B18" s="122"/>
      <c r="C18" s="57">
        <f>C5+C6+C7+C8+C10+C13+C14+C16</f>
        <v>31073312</v>
      </c>
      <c r="D18" s="57">
        <f t="shared" ref="D18:N18" si="0">D5+D6+D7+D8+D10+D13+D14+D16</f>
        <v>28957119</v>
      </c>
      <c r="E18" s="57">
        <f t="shared" si="0"/>
        <v>28511774</v>
      </c>
      <c r="F18" s="57">
        <f t="shared" si="0"/>
        <v>25655404</v>
      </c>
      <c r="G18" s="57">
        <f t="shared" si="0"/>
        <v>24812726</v>
      </c>
      <c r="H18" s="57">
        <f t="shared" si="0"/>
        <v>21192970</v>
      </c>
      <c r="I18" s="57">
        <f t="shared" si="0"/>
        <v>21532138</v>
      </c>
      <c r="J18" s="57">
        <f>J5+J6+J7+J8+J10+J13+J14+J16</f>
        <v>21186486</v>
      </c>
      <c r="K18" s="57">
        <f t="shared" si="0"/>
        <v>20158634</v>
      </c>
      <c r="L18" s="57">
        <f t="shared" si="0"/>
        <v>23402994</v>
      </c>
      <c r="M18" s="57">
        <f t="shared" si="0"/>
        <v>25315465</v>
      </c>
      <c r="N18" s="57">
        <f t="shared" si="0"/>
        <v>29505956</v>
      </c>
      <c r="O18" s="41"/>
    </row>
    <row r="20" spans="1:15" x14ac:dyDescent="0.25">
      <c r="M20" s="43"/>
    </row>
    <row r="21" spans="1:15" x14ac:dyDescent="0.25">
      <c r="M21" s="41"/>
    </row>
    <row r="23" spans="1:15" x14ac:dyDescent="0.25">
      <c r="L23" s="41"/>
    </row>
    <row r="28" spans="1:15" x14ac:dyDescent="0.25">
      <c r="E28" s="41"/>
      <c r="F28" s="41"/>
    </row>
  </sheetData>
  <mergeCells count="9">
    <mergeCell ref="A18:B18"/>
    <mergeCell ref="A2:N2"/>
    <mergeCell ref="A4:A10"/>
    <mergeCell ref="B4:N4"/>
    <mergeCell ref="B9:N9"/>
    <mergeCell ref="A11:N11"/>
    <mergeCell ref="A12:A16"/>
    <mergeCell ref="B12:N12"/>
    <mergeCell ref="B15:N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B9" sqref="A9:XFD9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1.140625" style="1" bestFit="1" customWidth="1"/>
    <col min="16" max="16384" width="9.140625" style="1"/>
  </cols>
  <sheetData>
    <row r="2" spans="1:15" ht="42.75" customHeight="1" x14ac:dyDescent="0.25">
      <c r="A2" s="92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93" t="s">
        <v>19</v>
      </c>
      <c r="B4" s="95" t="s">
        <v>23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1:15" ht="22.5" customHeight="1" x14ac:dyDescent="0.25">
      <c r="A5" s="94"/>
      <c r="B5" s="5" t="s">
        <v>14</v>
      </c>
      <c r="C5" s="3">
        <v>28788384</v>
      </c>
      <c r="D5" s="3">
        <v>23314026</v>
      </c>
      <c r="E5" s="3">
        <v>25964899</v>
      </c>
      <c r="F5" s="3">
        <v>23384793</v>
      </c>
      <c r="G5" s="3">
        <v>22917114</v>
      </c>
      <c r="H5" s="3">
        <v>21434469</v>
      </c>
      <c r="I5" s="3">
        <v>21808275</v>
      </c>
      <c r="J5" s="3">
        <v>21820825.999999996</v>
      </c>
      <c r="K5" s="3">
        <v>21903690</v>
      </c>
      <c r="L5" s="3">
        <v>23741029</v>
      </c>
      <c r="M5" s="3">
        <v>23862929</v>
      </c>
      <c r="N5" s="3">
        <v>25349003</v>
      </c>
    </row>
    <row r="6" spans="1:15" ht="22.5" customHeight="1" x14ac:dyDescent="0.25">
      <c r="A6" s="94"/>
      <c r="B6" s="5" t="s">
        <v>15</v>
      </c>
      <c r="C6" s="3">
        <v>964527</v>
      </c>
      <c r="D6" s="3">
        <v>757946</v>
      </c>
      <c r="E6" s="3">
        <v>657552</v>
      </c>
      <c r="F6" s="3">
        <v>586747</v>
      </c>
      <c r="G6" s="3">
        <v>428269</v>
      </c>
      <c r="H6" s="3">
        <v>347687</v>
      </c>
      <c r="I6" s="3">
        <v>325426.99999999994</v>
      </c>
      <c r="J6" s="3">
        <v>356231</v>
      </c>
      <c r="K6" s="3">
        <v>482024.00000000006</v>
      </c>
      <c r="L6" s="3">
        <v>635340</v>
      </c>
      <c r="M6" s="3">
        <v>696886.00000000012</v>
      </c>
      <c r="N6" s="3">
        <v>821040</v>
      </c>
    </row>
    <row r="7" spans="1:15" ht="22.5" customHeight="1" x14ac:dyDescent="0.25">
      <c r="A7" s="94"/>
      <c r="B7" s="5" t="s">
        <v>16</v>
      </c>
      <c r="C7" s="3">
        <v>1193941</v>
      </c>
      <c r="D7" s="3">
        <v>1137921</v>
      </c>
      <c r="E7" s="3">
        <v>1090518</v>
      </c>
      <c r="F7" s="3">
        <v>999658</v>
      </c>
      <c r="G7" s="3">
        <v>803848</v>
      </c>
      <c r="H7" s="3">
        <v>652350</v>
      </c>
      <c r="I7" s="3">
        <v>594151</v>
      </c>
      <c r="J7" s="3">
        <v>616937</v>
      </c>
      <c r="K7" s="3">
        <v>788825</v>
      </c>
      <c r="L7" s="3">
        <v>985643</v>
      </c>
      <c r="M7" s="3">
        <v>1095522</v>
      </c>
      <c r="N7" s="3">
        <v>1164408</v>
      </c>
    </row>
    <row r="8" spans="1:15" ht="22.5" customHeight="1" x14ac:dyDescent="0.25">
      <c r="A8" s="94"/>
      <c r="B8" s="5" t="s">
        <v>17</v>
      </c>
      <c r="C8" s="3">
        <v>495926</v>
      </c>
      <c r="D8" s="3">
        <v>367103</v>
      </c>
      <c r="E8" s="3">
        <v>377948</v>
      </c>
      <c r="F8" s="3">
        <v>321661</v>
      </c>
      <c r="G8" s="3">
        <v>257555</v>
      </c>
      <c r="H8" s="3">
        <v>222517</v>
      </c>
      <c r="I8" s="3">
        <v>202243</v>
      </c>
      <c r="J8" s="3">
        <v>203213</v>
      </c>
      <c r="K8" s="3">
        <v>249562</v>
      </c>
      <c r="L8" s="3">
        <v>297669</v>
      </c>
      <c r="M8" s="3">
        <v>412526</v>
      </c>
      <c r="N8" s="3">
        <v>400511</v>
      </c>
    </row>
    <row r="9" spans="1:15" ht="22.5" customHeight="1" x14ac:dyDescent="0.25">
      <c r="A9" s="94"/>
      <c r="B9" s="95" t="s">
        <v>24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</row>
    <row r="10" spans="1:15" ht="22.5" customHeight="1" x14ac:dyDescent="0.25">
      <c r="A10" s="94"/>
      <c r="B10" s="4"/>
      <c r="C10" s="3">
        <v>1073774</v>
      </c>
      <c r="D10" s="3">
        <v>881769</v>
      </c>
      <c r="E10" s="3">
        <v>890327</v>
      </c>
      <c r="F10" s="3">
        <v>755665</v>
      </c>
      <c r="G10" s="3">
        <v>723269</v>
      </c>
      <c r="H10" s="3">
        <v>549718</v>
      </c>
      <c r="I10" s="3">
        <v>420712</v>
      </c>
      <c r="J10" s="3">
        <v>420712</v>
      </c>
      <c r="K10" s="3">
        <v>694826</v>
      </c>
      <c r="L10" s="3">
        <v>862097</v>
      </c>
      <c r="M10" s="3">
        <v>948212</v>
      </c>
      <c r="N10" s="3">
        <v>1056641</v>
      </c>
    </row>
    <row r="11" spans="1:15" ht="30.75" customHeight="1" x14ac:dyDescent="0.25">
      <c r="A11" s="94"/>
      <c r="B11" s="6" t="s">
        <v>18</v>
      </c>
      <c r="C11" s="3">
        <f t="shared" ref="C11:N11" si="0">SUM(C5:C8,C10)</f>
        <v>32516552</v>
      </c>
      <c r="D11" s="3">
        <f t="shared" si="0"/>
        <v>26458765</v>
      </c>
      <c r="E11" s="3">
        <f t="shared" si="0"/>
        <v>28981244</v>
      </c>
      <c r="F11" s="3">
        <f t="shared" si="0"/>
        <v>26048524</v>
      </c>
      <c r="G11" s="3">
        <f t="shared" si="0"/>
        <v>25130055</v>
      </c>
      <c r="H11" s="3">
        <f t="shared" si="0"/>
        <v>23206741</v>
      </c>
      <c r="I11" s="3">
        <f t="shared" si="0"/>
        <v>23350808</v>
      </c>
      <c r="J11" s="3">
        <f t="shared" si="0"/>
        <v>23417918.999999996</v>
      </c>
      <c r="K11" s="3">
        <f t="shared" si="0"/>
        <v>24118927</v>
      </c>
      <c r="L11" s="3">
        <f t="shared" si="0"/>
        <v>26521778</v>
      </c>
      <c r="M11" s="3">
        <f t="shared" si="0"/>
        <v>27016075</v>
      </c>
      <c r="N11" s="3">
        <f t="shared" si="0"/>
        <v>28791603</v>
      </c>
    </row>
    <row r="12" spans="1:15" ht="22.5" customHeight="1" x14ac:dyDescent="0.25">
      <c r="A12" s="98" t="s">
        <v>18</v>
      </c>
      <c r="B12" s="99"/>
      <c r="C12" s="10">
        <f>C11</f>
        <v>32516552</v>
      </c>
      <c r="D12" s="10">
        <f t="shared" ref="D12:N12" si="1">D11</f>
        <v>26458765</v>
      </c>
      <c r="E12" s="10">
        <f t="shared" si="1"/>
        <v>28981244</v>
      </c>
      <c r="F12" s="10">
        <f t="shared" si="1"/>
        <v>26048524</v>
      </c>
      <c r="G12" s="10">
        <f t="shared" si="1"/>
        <v>25130055</v>
      </c>
      <c r="H12" s="10">
        <f t="shared" si="1"/>
        <v>23206741</v>
      </c>
      <c r="I12" s="10">
        <f t="shared" si="1"/>
        <v>23350808</v>
      </c>
      <c r="J12" s="10">
        <f t="shared" si="1"/>
        <v>23417918.999999996</v>
      </c>
      <c r="K12" s="10">
        <f t="shared" si="1"/>
        <v>24118927</v>
      </c>
      <c r="L12" s="10">
        <f t="shared" si="1"/>
        <v>26521778</v>
      </c>
      <c r="M12" s="10">
        <f t="shared" si="1"/>
        <v>27016075</v>
      </c>
      <c r="N12" s="10">
        <f t="shared" si="1"/>
        <v>28791603</v>
      </c>
      <c r="O12" s="11"/>
    </row>
  </sheetData>
  <mergeCells count="5">
    <mergeCell ref="A2:N2"/>
    <mergeCell ref="B4:N4"/>
    <mergeCell ref="A4:A11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zoomScale="70" zoomScaleNormal="70" workbookViewId="0">
      <selection activeCell="C10" sqref="C10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5" width="11.140625" style="1" bestFit="1" customWidth="1"/>
    <col min="16" max="16384" width="9.140625" style="1"/>
  </cols>
  <sheetData>
    <row r="2" spans="1:14" ht="42.75" customHeight="1" x14ac:dyDescent="0.25">
      <c r="A2" s="92" t="s">
        <v>22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93" t="s">
        <v>19</v>
      </c>
      <c r="B4" s="95" t="s">
        <v>23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1:14" ht="22.5" customHeight="1" x14ac:dyDescent="0.25">
      <c r="A5" s="94"/>
      <c r="B5" s="5" t="s">
        <v>14</v>
      </c>
      <c r="C5" s="3">
        <v>25736074</v>
      </c>
      <c r="D5" s="3">
        <v>21650680</v>
      </c>
      <c r="E5" s="3">
        <v>24764585</v>
      </c>
      <c r="F5" s="3">
        <v>21892639</v>
      </c>
      <c r="G5" s="3">
        <v>22068108</v>
      </c>
      <c r="H5" s="3">
        <v>21053497</v>
      </c>
      <c r="I5" s="3">
        <v>22567857</v>
      </c>
      <c r="J5" s="3">
        <v>21615146</v>
      </c>
      <c r="K5" s="3">
        <v>19460625.000000004</v>
      </c>
      <c r="L5" s="3">
        <v>23610792</v>
      </c>
      <c r="M5" s="3">
        <v>24487977</v>
      </c>
      <c r="N5" s="3">
        <f>[1]мурманск!$L$154+[1]мурманск!$L$161</f>
        <v>779963</v>
      </c>
    </row>
    <row r="6" spans="1:14" ht="22.5" customHeight="1" x14ac:dyDescent="0.25">
      <c r="A6" s="94"/>
      <c r="B6" s="5" t="s">
        <v>15</v>
      </c>
      <c r="C6" s="3">
        <v>880878.99999999988</v>
      </c>
      <c r="D6" s="3">
        <v>693741</v>
      </c>
      <c r="E6" s="3">
        <v>812091</v>
      </c>
      <c r="F6" s="3">
        <v>604996</v>
      </c>
      <c r="G6" s="3">
        <v>382692</v>
      </c>
      <c r="H6" s="3">
        <v>238528</v>
      </c>
      <c r="I6" s="3">
        <v>390698</v>
      </c>
      <c r="J6" s="3">
        <v>293260</v>
      </c>
      <c r="K6" s="3">
        <v>404082.99999999994</v>
      </c>
      <c r="L6" s="3">
        <v>595409</v>
      </c>
      <c r="M6" s="3">
        <v>732653</v>
      </c>
      <c r="N6" s="3">
        <f>[1]мурманск!$L$155</f>
        <v>16604</v>
      </c>
    </row>
    <row r="7" spans="1:14" ht="22.5" customHeight="1" x14ac:dyDescent="0.25">
      <c r="A7" s="94"/>
      <c r="B7" s="5" t="s">
        <v>16</v>
      </c>
      <c r="C7" s="3">
        <v>1224468</v>
      </c>
      <c r="D7" s="3">
        <v>1167769</v>
      </c>
      <c r="E7" s="3">
        <v>1035537</v>
      </c>
      <c r="F7" s="3">
        <v>989566</v>
      </c>
      <c r="G7" s="3">
        <v>781800</v>
      </c>
      <c r="H7" s="3">
        <v>625544</v>
      </c>
      <c r="I7" s="3">
        <v>644065</v>
      </c>
      <c r="J7" s="3">
        <v>607965</v>
      </c>
      <c r="K7" s="3">
        <v>661519</v>
      </c>
      <c r="L7" s="3">
        <v>904875</v>
      </c>
      <c r="M7" s="3">
        <v>1013460</v>
      </c>
      <c r="N7" s="3">
        <f>[1]мурманск!$L$156+[1]мурманск!$L$162</f>
        <v>105041</v>
      </c>
    </row>
    <row r="8" spans="1:14" ht="22.5" customHeight="1" x14ac:dyDescent="0.25">
      <c r="A8" s="94"/>
      <c r="B8" s="5" t="s">
        <v>17</v>
      </c>
      <c r="C8" s="3">
        <v>436103.6</v>
      </c>
      <c r="D8" s="3">
        <v>410159</v>
      </c>
      <c r="E8" s="3">
        <v>393730</v>
      </c>
      <c r="F8" s="3">
        <v>356507</v>
      </c>
      <c r="G8" s="3">
        <v>257967</v>
      </c>
      <c r="H8" s="3">
        <v>26294</v>
      </c>
      <c r="I8" s="3">
        <v>212678</v>
      </c>
      <c r="J8" s="3">
        <v>221145</v>
      </c>
      <c r="K8" s="3">
        <v>255327</v>
      </c>
      <c r="L8" s="3">
        <v>310804</v>
      </c>
      <c r="M8" s="3">
        <v>388108</v>
      </c>
      <c r="N8" s="3">
        <f>[1]мурманск!$L$157+[1]мурманск!$L$163</f>
        <v>6832</v>
      </c>
    </row>
    <row r="9" spans="1:14" ht="22.5" customHeight="1" x14ac:dyDescent="0.25">
      <c r="A9" s="94"/>
      <c r="B9" s="95" t="s">
        <v>24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</row>
    <row r="10" spans="1:14" ht="22.5" customHeight="1" x14ac:dyDescent="0.25">
      <c r="A10" s="94"/>
      <c r="B10" s="14"/>
      <c r="C10" s="15">
        <v>1115310</v>
      </c>
      <c r="D10" s="15">
        <v>990648</v>
      </c>
      <c r="E10" s="15">
        <v>918383</v>
      </c>
      <c r="F10" s="15">
        <v>813268</v>
      </c>
      <c r="G10" s="15">
        <v>655885</v>
      </c>
      <c r="H10" s="15">
        <v>600613</v>
      </c>
      <c r="I10" s="15">
        <f>127461+82470+160475+66935+22653</f>
        <v>459994</v>
      </c>
      <c r="J10" s="15">
        <f>112219+93678+204886+62585+24735</f>
        <v>498103</v>
      </c>
      <c r="K10" s="15">
        <v>581656</v>
      </c>
      <c r="L10" s="15">
        <v>771585</v>
      </c>
      <c r="M10" s="15">
        <v>935454</v>
      </c>
      <c r="N10" s="15">
        <f>[1]мурманск!$L$158+[1]мурманск!$L$159+[1]мурманск!$L$160+[1]мурманск!$L$164</f>
        <v>24340734</v>
      </c>
    </row>
    <row r="11" spans="1:14" ht="22.5" customHeight="1" x14ac:dyDescent="0.25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</row>
    <row r="12" spans="1:14" ht="22.5" customHeight="1" x14ac:dyDescent="0.25">
      <c r="A12" s="93" t="s">
        <v>25</v>
      </c>
      <c r="B12" s="103" t="s">
        <v>23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</row>
    <row r="13" spans="1:14" ht="22.5" customHeight="1" x14ac:dyDescent="0.25">
      <c r="A13" s="94"/>
      <c r="B13" s="4" t="s">
        <v>16</v>
      </c>
      <c r="C13" s="3"/>
      <c r="D13" s="3"/>
      <c r="E13" s="3"/>
      <c r="F13" s="3"/>
      <c r="G13" s="3"/>
      <c r="H13" s="3"/>
      <c r="I13" s="3"/>
      <c r="J13" s="3"/>
      <c r="K13" s="3">
        <v>46959</v>
      </c>
      <c r="L13" s="3">
        <v>47310</v>
      </c>
      <c r="M13" s="3">
        <v>58147</v>
      </c>
      <c r="N13" s="3">
        <v>52374</v>
      </c>
    </row>
    <row r="14" spans="1:14" ht="22.5" customHeight="1" x14ac:dyDescent="0.25">
      <c r="A14" s="94"/>
      <c r="B14" s="4" t="s">
        <v>17</v>
      </c>
      <c r="C14" s="3"/>
      <c r="D14" s="3"/>
      <c r="E14" s="3"/>
      <c r="F14" s="3"/>
      <c r="G14" s="3"/>
      <c r="H14" s="3"/>
      <c r="I14" s="3"/>
      <c r="J14" s="3"/>
      <c r="K14" s="3">
        <v>20334</v>
      </c>
      <c r="L14" s="3">
        <v>16604</v>
      </c>
      <c r="M14" s="3">
        <v>19817</v>
      </c>
      <c r="N14" s="3">
        <v>17764</v>
      </c>
    </row>
    <row r="15" spans="1:14" ht="22.5" customHeight="1" x14ac:dyDescent="0.25">
      <c r="A15" s="94"/>
      <c r="B15" s="95" t="s">
        <v>24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</row>
    <row r="16" spans="1:14" ht="22.5" customHeight="1" x14ac:dyDescent="0.25">
      <c r="A16" s="94"/>
      <c r="B16" s="14"/>
      <c r="C16" s="15"/>
      <c r="D16" s="15"/>
      <c r="E16" s="15"/>
      <c r="F16" s="15"/>
      <c r="G16" s="15"/>
      <c r="H16" s="15"/>
      <c r="I16" s="15"/>
      <c r="J16" s="15"/>
      <c r="K16" s="15">
        <v>22782</v>
      </c>
      <c r="L16" s="15">
        <v>17853</v>
      </c>
      <c r="M16" s="15">
        <v>23057</v>
      </c>
      <c r="N16" s="15">
        <v>22846</v>
      </c>
    </row>
    <row r="17" spans="1:15" ht="22.5" customHeight="1" x14ac:dyDescent="0.25">
      <c r="A17" s="18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5" ht="22.5" customHeight="1" x14ac:dyDescent="0.25">
      <c r="A18" s="93" t="s">
        <v>26</v>
      </c>
      <c r="B18" s="104" t="s">
        <v>23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</row>
    <row r="19" spans="1:15" ht="22.5" customHeight="1" x14ac:dyDescent="0.25">
      <c r="A19" s="106"/>
      <c r="B19" s="23" t="s">
        <v>16</v>
      </c>
      <c r="C19" s="24"/>
      <c r="D19" s="24"/>
      <c r="E19" s="24"/>
      <c r="F19" s="24"/>
      <c r="G19" s="24"/>
      <c r="H19" s="24"/>
      <c r="I19" s="24"/>
      <c r="J19" s="24"/>
      <c r="K19" s="24">
        <v>10305</v>
      </c>
      <c r="L19" s="24">
        <v>12770</v>
      </c>
      <c r="M19" s="24">
        <v>16065</v>
      </c>
      <c r="N19" s="24">
        <v>22163</v>
      </c>
    </row>
    <row r="20" spans="1:15" ht="22.5" customHeight="1" x14ac:dyDescent="0.25">
      <c r="A20" s="20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5" ht="22.5" customHeight="1" x14ac:dyDescent="0.25">
      <c r="A21" s="93" t="s">
        <v>27</v>
      </c>
      <c r="B21" s="104" t="s">
        <v>23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5"/>
    </row>
    <row r="22" spans="1:15" ht="22.5" customHeight="1" x14ac:dyDescent="0.25">
      <c r="A22" s="106"/>
      <c r="B22" s="23" t="s">
        <v>16</v>
      </c>
      <c r="C22" s="24"/>
      <c r="D22" s="24"/>
      <c r="E22" s="24"/>
      <c r="F22" s="24"/>
      <c r="G22" s="24"/>
      <c r="H22" s="24"/>
      <c r="I22" s="24"/>
      <c r="J22" s="24"/>
      <c r="K22" s="24"/>
      <c r="L22" s="24">
        <v>4992</v>
      </c>
      <c r="M22" s="24">
        <v>4032</v>
      </c>
      <c r="N22" s="24">
        <v>4872</v>
      </c>
    </row>
    <row r="23" spans="1:15" ht="22.5" customHeight="1" x14ac:dyDescent="0.25">
      <c r="A23" s="20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5" ht="22.5" customHeight="1" x14ac:dyDescent="0.25">
      <c r="A24" s="17"/>
      <c r="B24" s="19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2"/>
      <c r="N24" s="25"/>
    </row>
    <row r="25" spans="1:15" ht="22.5" customHeight="1" x14ac:dyDescent="0.25">
      <c r="A25" s="98" t="s">
        <v>18</v>
      </c>
      <c r="B25" s="99"/>
      <c r="C25" s="10">
        <f>C5+C6+C7+C8+C10+C13+C14+C16+C19+C22</f>
        <v>29392834.600000001</v>
      </c>
      <c r="D25" s="10">
        <f t="shared" ref="D25:L25" si="0">D5+D6+D7+D8+D10+D13+D14+D16+D19+D22</f>
        <v>24912997</v>
      </c>
      <c r="E25" s="10">
        <f t="shared" si="0"/>
        <v>27924326</v>
      </c>
      <c r="F25" s="10">
        <f t="shared" si="0"/>
        <v>24656976</v>
      </c>
      <c r="G25" s="10">
        <f t="shared" si="0"/>
        <v>24146452</v>
      </c>
      <c r="H25" s="10">
        <f t="shared" si="0"/>
        <v>22544476</v>
      </c>
      <c r="I25" s="10">
        <f t="shared" si="0"/>
        <v>24275292</v>
      </c>
      <c r="J25" s="10">
        <f t="shared" si="0"/>
        <v>23235619</v>
      </c>
      <c r="K25" s="10">
        <f t="shared" si="0"/>
        <v>21463590.000000004</v>
      </c>
      <c r="L25" s="10">
        <f t="shared" si="0"/>
        <v>26292994</v>
      </c>
      <c r="M25" s="10">
        <f>M5+M6+M7+M8+M10+M13+M14+M16+M19+M22</f>
        <v>27678770</v>
      </c>
      <c r="N25" s="10">
        <f>N5+N6+N7+N8+N10+N13+N14+N16+N19+N22</f>
        <v>25369193</v>
      </c>
      <c r="O25" s="11"/>
    </row>
  </sheetData>
  <mergeCells count="13">
    <mergeCell ref="A2:N2"/>
    <mergeCell ref="B4:N4"/>
    <mergeCell ref="A25:B25"/>
    <mergeCell ref="B9:N9"/>
    <mergeCell ref="A4:A10"/>
    <mergeCell ref="A11:N11"/>
    <mergeCell ref="B12:N12"/>
    <mergeCell ref="B15:N15"/>
    <mergeCell ref="A12:A16"/>
    <mergeCell ref="A18:A19"/>
    <mergeCell ref="B18:N18"/>
    <mergeCell ref="A21:A22"/>
    <mergeCell ref="B21:N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zoomScale="70" zoomScaleNormal="70" workbookViewId="0">
      <selection activeCell="M10" sqref="M10"/>
    </sheetView>
  </sheetViews>
  <sheetFormatPr defaultColWidth="9.140625" defaultRowHeight="15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2" width="22.140625" style="1" customWidth="1"/>
    <col min="13" max="14" width="24.28515625" style="1" customWidth="1"/>
    <col min="15" max="15" width="11.140625" style="1" bestFit="1" customWidth="1"/>
    <col min="16" max="16384" width="9.140625" style="1"/>
  </cols>
  <sheetData>
    <row r="2" spans="1:14" ht="42.75" customHeight="1" x14ac:dyDescent="0.25">
      <c r="A2" s="92" t="s">
        <v>28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93" t="s">
        <v>29</v>
      </c>
      <c r="B4" s="95" t="s">
        <v>23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1:14" ht="22.5" customHeight="1" x14ac:dyDescent="0.25">
      <c r="A5" s="94"/>
      <c r="B5" s="5" t="s">
        <v>14</v>
      </c>
      <c r="C5" s="3">
        <v>28262439</v>
      </c>
      <c r="D5" s="3">
        <v>23437787.000000004</v>
      </c>
      <c r="E5" s="27">
        <v>25160404</v>
      </c>
      <c r="F5" s="27">
        <v>23905048</v>
      </c>
      <c r="G5" s="27">
        <v>22738119</v>
      </c>
      <c r="H5" s="27">
        <v>22390343</v>
      </c>
      <c r="I5" s="3">
        <v>23161986</v>
      </c>
      <c r="J5" s="3">
        <v>23805488</v>
      </c>
      <c r="K5" s="3">
        <v>22979505</v>
      </c>
      <c r="L5" s="3">
        <v>24313239</v>
      </c>
      <c r="M5" s="3">
        <v>25073182</v>
      </c>
      <c r="N5" s="3">
        <v>25914882</v>
      </c>
    </row>
    <row r="6" spans="1:14" ht="22.5" customHeight="1" x14ac:dyDescent="0.25">
      <c r="A6" s="94"/>
      <c r="B6" s="5" t="s">
        <v>15</v>
      </c>
      <c r="C6" s="3">
        <v>996757</v>
      </c>
      <c r="D6" s="3">
        <v>773480</v>
      </c>
      <c r="E6" s="27">
        <v>744834</v>
      </c>
      <c r="F6" s="27">
        <v>540491</v>
      </c>
      <c r="G6" s="27">
        <v>362009</v>
      </c>
      <c r="H6" s="27">
        <v>357556</v>
      </c>
      <c r="I6" s="3">
        <v>322804</v>
      </c>
      <c r="J6" s="3">
        <v>406443</v>
      </c>
      <c r="K6" s="3">
        <v>581094</v>
      </c>
      <c r="L6" s="3">
        <v>551303</v>
      </c>
      <c r="M6" s="3">
        <v>694840</v>
      </c>
      <c r="N6" s="3">
        <v>886742</v>
      </c>
    </row>
    <row r="7" spans="1:14" ht="22.5" customHeight="1" x14ac:dyDescent="0.25">
      <c r="A7" s="94"/>
      <c r="B7" s="5" t="s">
        <v>16</v>
      </c>
      <c r="C7" s="3">
        <v>1320305</v>
      </c>
      <c r="D7" s="3">
        <v>1126835</v>
      </c>
      <c r="E7" s="27">
        <v>1002219</v>
      </c>
      <c r="F7" s="27">
        <v>842918</v>
      </c>
      <c r="G7" s="27">
        <v>693784</v>
      </c>
      <c r="H7" s="27">
        <v>600631</v>
      </c>
      <c r="I7" s="3">
        <v>516101</v>
      </c>
      <c r="J7" s="3">
        <v>586240</v>
      </c>
      <c r="K7" s="3">
        <v>744615</v>
      </c>
      <c r="L7" s="3">
        <v>877289</v>
      </c>
      <c r="M7" s="3">
        <v>1000269</v>
      </c>
      <c r="N7" s="3">
        <v>1119831</v>
      </c>
    </row>
    <row r="8" spans="1:14" ht="22.5" customHeight="1" x14ac:dyDescent="0.25">
      <c r="A8" s="94"/>
      <c r="B8" s="5" t="s">
        <v>17</v>
      </c>
      <c r="C8" s="3">
        <v>432246</v>
      </c>
      <c r="D8" s="3">
        <v>391257</v>
      </c>
      <c r="E8" s="27">
        <v>333401</v>
      </c>
      <c r="F8" s="27">
        <v>306897</v>
      </c>
      <c r="G8" s="27">
        <v>270200</v>
      </c>
      <c r="H8" s="27">
        <v>217713</v>
      </c>
      <c r="I8" s="3">
        <v>178907</v>
      </c>
      <c r="J8" s="3">
        <v>197214</v>
      </c>
      <c r="K8" s="3">
        <v>448318</v>
      </c>
      <c r="L8" s="3">
        <v>335554</v>
      </c>
      <c r="M8" s="3">
        <v>389107</v>
      </c>
      <c r="N8" s="3">
        <v>451538</v>
      </c>
    </row>
    <row r="9" spans="1:14" ht="22.5" customHeight="1" x14ac:dyDescent="0.25">
      <c r="A9" s="94"/>
      <c r="B9" s="95" t="s">
        <v>24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</row>
    <row r="10" spans="1:14" ht="22.5" customHeight="1" x14ac:dyDescent="0.25">
      <c r="A10" s="94"/>
      <c r="B10" s="14"/>
      <c r="C10" s="15">
        <v>433539</v>
      </c>
      <c r="D10" s="15">
        <v>899885</v>
      </c>
      <c r="E10" s="28">
        <f>89336+80172+487942+91476+37235</f>
        <v>786161</v>
      </c>
      <c r="F10" s="28">
        <v>655879</v>
      </c>
      <c r="G10" s="28">
        <v>531154</v>
      </c>
      <c r="H10" s="28">
        <v>553527</v>
      </c>
      <c r="I10" s="15">
        <v>481393</v>
      </c>
      <c r="J10" s="15">
        <v>481648</v>
      </c>
      <c r="K10" s="15">
        <v>464326</v>
      </c>
      <c r="L10" s="15">
        <v>662843</v>
      </c>
      <c r="M10" s="15">
        <v>1137506</v>
      </c>
      <c r="N10" s="15">
        <v>955284</v>
      </c>
    </row>
    <row r="11" spans="1:14" ht="22.5" customHeight="1" x14ac:dyDescent="0.25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</row>
    <row r="12" spans="1:14" ht="22.5" customHeight="1" x14ac:dyDescent="0.25">
      <c r="A12" s="93" t="s">
        <v>25</v>
      </c>
      <c r="B12" s="103" t="s">
        <v>23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</row>
    <row r="13" spans="1:14" ht="22.5" customHeight="1" x14ac:dyDescent="0.25">
      <c r="A13" s="94"/>
      <c r="B13" s="4" t="s">
        <v>16</v>
      </c>
      <c r="C13" s="3">
        <v>68739</v>
      </c>
      <c r="D13" s="3">
        <v>55900</v>
      </c>
      <c r="E13" s="3">
        <v>50094</v>
      </c>
      <c r="F13" s="3">
        <v>42479</v>
      </c>
      <c r="G13" s="3">
        <v>45846</v>
      </c>
      <c r="H13" s="3">
        <v>39941</v>
      </c>
      <c r="I13" s="3">
        <v>26726</v>
      </c>
      <c r="J13" s="3">
        <v>34716</v>
      </c>
      <c r="K13" s="3">
        <v>47244</v>
      </c>
      <c r="L13" s="3">
        <v>45980</v>
      </c>
      <c r="M13" s="3">
        <v>58430</v>
      </c>
      <c r="N13" s="3">
        <v>61189</v>
      </c>
    </row>
    <row r="14" spans="1:14" ht="22.5" customHeight="1" x14ac:dyDescent="0.25">
      <c r="A14" s="94"/>
      <c r="B14" s="4" t="s">
        <v>17</v>
      </c>
      <c r="C14" s="3">
        <v>19408</v>
      </c>
      <c r="D14" s="3">
        <v>21595</v>
      </c>
      <c r="E14" s="3">
        <v>14914</v>
      </c>
      <c r="F14" s="3">
        <v>17039</v>
      </c>
      <c r="G14" s="3">
        <v>15343</v>
      </c>
      <c r="H14" s="3">
        <v>17943</v>
      </c>
      <c r="I14" s="3">
        <v>16870</v>
      </c>
      <c r="J14" s="3">
        <v>16117</v>
      </c>
      <c r="K14" s="3">
        <v>18659</v>
      </c>
      <c r="L14" s="3">
        <v>15828</v>
      </c>
      <c r="M14" s="3">
        <v>19282</v>
      </c>
      <c r="N14" s="3">
        <v>16917</v>
      </c>
    </row>
    <row r="15" spans="1:14" ht="22.5" customHeight="1" x14ac:dyDescent="0.25">
      <c r="A15" s="94"/>
      <c r="B15" s="95" t="s">
        <v>24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</row>
    <row r="16" spans="1:14" ht="22.5" customHeight="1" x14ac:dyDescent="0.25">
      <c r="A16" s="94"/>
      <c r="B16" s="14"/>
      <c r="C16" s="15">
        <v>27323</v>
      </c>
      <c r="D16" s="15">
        <v>25563</v>
      </c>
      <c r="E16" s="15">
        <v>18527</v>
      </c>
      <c r="F16" s="15">
        <v>15816</v>
      </c>
      <c r="G16" s="15">
        <v>21647</v>
      </c>
      <c r="H16" s="15">
        <v>18024</v>
      </c>
      <c r="I16" s="15">
        <v>17223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</row>
    <row r="17" spans="1:15" ht="22.5" customHeight="1" x14ac:dyDescent="0.25">
      <c r="A17" s="17"/>
      <c r="B17" s="19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22.5" customHeight="1" x14ac:dyDescent="0.25">
      <c r="A18" s="98" t="s">
        <v>18</v>
      </c>
      <c r="B18" s="99"/>
      <c r="C18" s="10">
        <f>C5+C6+C7+C8+C10+C13+C14+C16</f>
        <v>31560756</v>
      </c>
      <c r="D18" s="10">
        <f t="shared" ref="D18:N18" si="0">D5+D6+D7+D8+D10+D13+D14+D16</f>
        <v>26732302.000000004</v>
      </c>
      <c r="E18" s="10">
        <f t="shared" si="0"/>
        <v>28110554</v>
      </c>
      <c r="F18" s="10">
        <f t="shared" si="0"/>
        <v>26326567</v>
      </c>
      <c r="G18" s="10">
        <f>G5+G6+G7+G8+G10+G13+G14+G16</f>
        <v>24678102</v>
      </c>
      <c r="H18" s="10">
        <f t="shared" si="0"/>
        <v>24195678</v>
      </c>
      <c r="I18" s="10">
        <f t="shared" si="0"/>
        <v>24722010</v>
      </c>
      <c r="J18" s="10">
        <f t="shared" si="0"/>
        <v>25527866</v>
      </c>
      <c r="K18" s="10">
        <f t="shared" si="0"/>
        <v>25283761</v>
      </c>
      <c r="L18" s="10">
        <f t="shared" si="0"/>
        <v>26802036</v>
      </c>
      <c r="M18" s="10">
        <f t="shared" si="0"/>
        <v>28372616</v>
      </c>
      <c r="N18" s="10">
        <f t="shared" si="0"/>
        <v>29406383</v>
      </c>
      <c r="O18" s="11"/>
    </row>
  </sheetData>
  <mergeCells count="9">
    <mergeCell ref="A18:B18"/>
    <mergeCell ref="A12:A16"/>
    <mergeCell ref="B12:N12"/>
    <mergeCell ref="B15:N15"/>
    <mergeCell ref="A2:N2"/>
    <mergeCell ref="A4:A10"/>
    <mergeCell ref="B4:N4"/>
    <mergeCell ref="B9:N9"/>
    <mergeCell ref="A11:N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0" sqref="F10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10" width="12.140625" style="29" customWidth="1"/>
    <col min="11" max="12" width="22.140625" style="29" customWidth="1"/>
    <col min="13" max="14" width="24.28515625" style="29" customWidth="1"/>
    <col min="15" max="15" width="11.140625" style="29" bestFit="1" customWidth="1"/>
    <col min="16" max="16384" width="9.140625" style="29"/>
  </cols>
  <sheetData>
    <row r="2" spans="1:14" ht="42.75" customHeight="1" x14ac:dyDescent="0.25">
      <c r="A2" s="109" t="s">
        <v>30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s="33" customFormat="1" ht="33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</row>
    <row r="4" spans="1:14" ht="22.5" customHeight="1" x14ac:dyDescent="0.25">
      <c r="A4" s="110" t="s">
        <v>29</v>
      </c>
      <c r="B4" s="112" t="s">
        <v>23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</row>
    <row r="5" spans="1:14" ht="22.5" customHeight="1" x14ac:dyDescent="0.25">
      <c r="A5" s="111"/>
      <c r="B5" s="34" t="s">
        <v>14</v>
      </c>
      <c r="C5" s="27">
        <v>27338593</v>
      </c>
      <c r="D5" s="27">
        <v>24047819</v>
      </c>
      <c r="E5" s="27">
        <v>27654443</v>
      </c>
      <c r="F5" s="27">
        <v>26412636</v>
      </c>
      <c r="G5" s="27">
        <v>24887309</v>
      </c>
      <c r="H5" s="27">
        <v>23874728</v>
      </c>
      <c r="I5" s="27">
        <v>24120593</v>
      </c>
      <c r="J5" s="27">
        <v>25055174</v>
      </c>
      <c r="K5" s="27">
        <v>24238479</v>
      </c>
      <c r="L5" s="27">
        <f>'[2]Мурманская область'!$L$147+'[2]Мурманская область'!$L$154</f>
        <v>26171050</v>
      </c>
      <c r="M5" s="27">
        <v>26578917</v>
      </c>
      <c r="N5" s="27">
        <v>27962930</v>
      </c>
    </row>
    <row r="6" spans="1:14" ht="22.5" customHeight="1" x14ac:dyDescent="0.25">
      <c r="A6" s="111"/>
      <c r="B6" s="34" t="s">
        <v>15</v>
      </c>
      <c r="C6" s="27">
        <v>892859</v>
      </c>
      <c r="D6" s="27">
        <v>753155</v>
      </c>
      <c r="E6" s="27">
        <v>775357</v>
      </c>
      <c r="F6" s="27">
        <v>561361</v>
      </c>
      <c r="G6" s="27">
        <v>456726</v>
      </c>
      <c r="H6" s="27">
        <v>354986</v>
      </c>
      <c r="I6" s="27">
        <v>255268</v>
      </c>
      <c r="J6" s="27">
        <v>344466</v>
      </c>
      <c r="K6" s="27">
        <v>474929</v>
      </c>
      <c r="L6" s="27">
        <f>'[2]Мурманская область'!$L$148</f>
        <v>591642</v>
      </c>
      <c r="M6" s="27">
        <v>731987</v>
      </c>
      <c r="N6" s="27">
        <v>850232</v>
      </c>
    </row>
    <row r="7" spans="1:14" ht="22.5" customHeight="1" x14ac:dyDescent="0.25">
      <c r="A7" s="111"/>
      <c r="B7" s="34" t="s">
        <v>16</v>
      </c>
      <c r="C7" s="27">
        <v>1041228</v>
      </c>
      <c r="D7" s="27">
        <v>1051073</v>
      </c>
      <c r="E7" s="27">
        <v>957406</v>
      </c>
      <c r="F7" s="27">
        <v>897476</v>
      </c>
      <c r="G7" s="27">
        <v>791161</v>
      </c>
      <c r="H7" s="27">
        <v>598399</v>
      </c>
      <c r="I7" s="27">
        <v>551445</v>
      </c>
      <c r="J7" s="27">
        <v>652061</v>
      </c>
      <c r="K7" s="27">
        <v>723276</v>
      </c>
      <c r="L7" s="27">
        <f>'[2]Мурманская область'!$L$149+'[2]Мурманская область'!$L$155</f>
        <v>882427</v>
      </c>
      <c r="M7" s="27">
        <v>1004936</v>
      </c>
      <c r="N7" s="27">
        <v>784906</v>
      </c>
    </row>
    <row r="8" spans="1:14" ht="22.5" customHeight="1" x14ac:dyDescent="0.25">
      <c r="A8" s="111"/>
      <c r="B8" s="34" t="s">
        <v>17</v>
      </c>
      <c r="C8" s="27">
        <v>551116</v>
      </c>
      <c r="D8" s="27">
        <v>466931</v>
      </c>
      <c r="E8" s="27">
        <v>563627</v>
      </c>
      <c r="F8" s="27">
        <v>427890</v>
      </c>
      <c r="G8" s="27">
        <v>410116</v>
      </c>
      <c r="H8" s="27">
        <v>297622</v>
      </c>
      <c r="I8" s="27">
        <v>228936</v>
      </c>
      <c r="J8" s="27">
        <v>288555</v>
      </c>
      <c r="K8" s="27">
        <v>306481</v>
      </c>
      <c r="L8" s="27">
        <f>'[2]Мурманская область'!$L$150+'[2]Мурманская область'!$L$156</f>
        <v>326908</v>
      </c>
      <c r="M8" s="27">
        <v>388467</v>
      </c>
      <c r="N8" s="27">
        <v>536906</v>
      </c>
    </row>
    <row r="9" spans="1:14" ht="22.5" customHeight="1" x14ac:dyDescent="0.25">
      <c r="A9" s="111"/>
      <c r="B9" s="112" t="s">
        <v>24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4"/>
    </row>
    <row r="10" spans="1:14" ht="22.5" customHeight="1" x14ac:dyDescent="0.25">
      <c r="A10" s="111"/>
      <c r="B10" s="35"/>
      <c r="C10" s="28">
        <v>962971</v>
      </c>
      <c r="D10" s="28">
        <v>964096</v>
      </c>
      <c r="E10" s="28">
        <v>641607</v>
      </c>
      <c r="F10" s="28">
        <v>591795</v>
      </c>
      <c r="G10" s="28">
        <v>624524</v>
      </c>
      <c r="H10" s="28">
        <v>517579</v>
      </c>
      <c r="I10" s="28">
        <v>427473.20999999996</v>
      </c>
      <c r="J10" s="28">
        <v>297348</v>
      </c>
      <c r="K10" s="28">
        <v>514353</v>
      </c>
      <c r="L10" s="28">
        <v>613271</v>
      </c>
      <c r="M10" s="28">
        <v>513786</v>
      </c>
      <c r="N10" s="28">
        <v>827816</v>
      </c>
    </row>
    <row r="11" spans="1:14" ht="22.5" customHeight="1" x14ac:dyDescent="0.25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</row>
    <row r="12" spans="1:14" ht="22.5" customHeight="1" x14ac:dyDescent="0.25">
      <c r="A12" s="110" t="s">
        <v>25</v>
      </c>
      <c r="B12" s="118" t="s">
        <v>23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14" ht="22.5" customHeight="1" x14ac:dyDescent="0.25">
      <c r="A13" s="111"/>
      <c r="B13" s="36" t="s">
        <v>16</v>
      </c>
      <c r="C13" s="27">
        <v>66728</v>
      </c>
      <c r="D13" s="27">
        <v>61698</v>
      </c>
      <c r="E13" s="27">
        <v>42696</v>
      </c>
      <c r="F13" s="27">
        <v>49805</v>
      </c>
      <c r="G13" s="27">
        <v>35982</v>
      </c>
      <c r="H13" s="27">
        <v>35706</v>
      </c>
      <c r="I13" s="27">
        <v>39299</v>
      </c>
      <c r="J13" s="27">
        <v>28403</v>
      </c>
      <c r="K13" s="27">
        <v>39131</v>
      </c>
      <c r="L13" s="27">
        <v>48138</v>
      </c>
      <c r="M13" s="27">
        <v>49848</v>
      </c>
      <c r="N13" s="27">
        <v>51720</v>
      </c>
    </row>
    <row r="14" spans="1:14" ht="22.5" customHeight="1" x14ac:dyDescent="0.25">
      <c r="A14" s="111"/>
      <c r="B14" s="36" t="s">
        <v>17</v>
      </c>
      <c r="C14" s="27">
        <v>18905</v>
      </c>
      <c r="D14" s="27">
        <v>16463</v>
      </c>
      <c r="E14" s="27">
        <v>20523</v>
      </c>
      <c r="F14" s="27">
        <v>18176</v>
      </c>
      <c r="G14" s="27">
        <v>17000</v>
      </c>
      <c r="H14" s="27">
        <v>12555</v>
      </c>
      <c r="I14" s="27">
        <v>17248</v>
      </c>
      <c r="J14" s="27">
        <v>15410</v>
      </c>
      <c r="K14" s="27">
        <v>19560</v>
      </c>
      <c r="L14" s="27">
        <v>15367</v>
      </c>
      <c r="M14" s="27">
        <v>18810</v>
      </c>
      <c r="N14" s="27">
        <v>16325</v>
      </c>
    </row>
    <row r="15" spans="1:14" ht="22.5" customHeight="1" x14ac:dyDescent="0.25">
      <c r="A15" s="111"/>
      <c r="B15" s="112" t="s">
        <v>24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</row>
    <row r="16" spans="1:14" ht="22.5" customHeight="1" x14ac:dyDescent="0.25">
      <c r="A16" s="111"/>
      <c r="B16" s="35"/>
      <c r="C16" s="28">
        <v>35296</v>
      </c>
      <c r="D16" s="28">
        <v>28151</v>
      </c>
      <c r="E16" s="28">
        <v>25287</v>
      </c>
      <c r="F16" s="28">
        <v>20708</v>
      </c>
      <c r="G16" s="28">
        <v>25110</v>
      </c>
      <c r="H16" s="28">
        <v>18050</v>
      </c>
      <c r="I16" s="28">
        <v>19529</v>
      </c>
      <c r="J16" s="28">
        <v>18966</v>
      </c>
      <c r="K16" s="28">
        <v>20139</v>
      </c>
      <c r="L16" s="28">
        <v>22533</v>
      </c>
      <c r="M16" s="28">
        <v>23368</v>
      </c>
      <c r="N16" s="28">
        <v>31301</v>
      </c>
    </row>
    <row r="17" spans="1:15" ht="22.5" customHeight="1" x14ac:dyDescent="0.25">
      <c r="A17" s="37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5" ht="22.5" customHeight="1" x14ac:dyDescent="0.25">
      <c r="A18" s="107" t="s">
        <v>18</v>
      </c>
      <c r="B18" s="108"/>
      <c r="C18" s="40">
        <f>C5+C6+C7+C8+C10+C13+C14+C16</f>
        <v>30907696</v>
      </c>
      <c r="D18" s="40">
        <f t="shared" ref="D18:N18" si="0">D5+D6+D7+D8+D10+D13+D14+D16</f>
        <v>27389386</v>
      </c>
      <c r="E18" s="40">
        <f t="shared" si="0"/>
        <v>30680946</v>
      </c>
      <c r="F18" s="40">
        <f t="shared" si="0"/>
        <v>28979847</v>
      </c>
      <c r="G18" s="40">
        <f t="shared" ref="G18" si="1">G5+G6+G7+G8+G10+G13+G14+G16</f>
        <v>27247928</v>
      </c>
      <c r="H18" s="40">
        <f t="shared" si="0"/>
        <v>25709625</v>
      </c>
      <c r="I18" s="40">
        <f t="shared" ref="I18" si="2">I5+I6+I7+I8+I10+I13+I14+I16</f>
        <v>25659791.210000001</v>
      </c>
      <c r="J18" s="40">
        <f>J5+J6+J7+J8+J10+J13+J14+J16</f>
        <v>26700383</v>
      </c>
      <c r="K18" s="40">
        <f t="shared" si="0"/>
        <v>26336348</v>
      </c>
      <c r="L18" s="40">
        <f t="shared" si="0"/>
        <v>28671336</v>
      </c>
      <c r="M18" s="40">
        <f t="shared" si="0"/>
        <v>29310119</v>
      </c>
      <c r="N18" s="40">
        <f t="shared" si="0"/>
        <v>31062136</v>
      </c>
      <c r="O18" s="41"/>
    </row>
    <row r="20" spans="1:15" x14ac:dyDescent="0.25">
      <c r="M20" s="43"/>
    </row>
    <row r="21" spans="1:15" x14ac:dyDescent="0.25">
      <c r="M21" s="41"/>
    </row>
    <row r="28" spans="1:15" x14ac:dyDescent="0.25">
      <c r="E28" s="41"/>
      <c r="F28" s="41"/>
    </row>
  </sheetData>
  <mergeCells count="9">
    <mergeCell ref="A18:B18"/>
    <mergeCell ref="A2:N2"/>
    <mergeCell ref="A4:A10"/>
    <mergeCell ref="B4:N4"/>
    <mergeCell ref="B9:N9"/>
    <mergeCell ref="A11:N11"/>
    <mergeCell ref="A12:A16"/>
    <mergeCell ref="B12:N12"/>
    <mergeCell ref="B15:N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zoomScale="70" zoomScaleNormal="70" workbookViewId="0">
      <pane xSplit="2" ySplit="4" topLeftCell="C5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10" width="12.140625" style="29" customWidth="1"/>
    <col min="11" max="11" width="11.5703125" style="29" bestFit="1" customWidth="1"/>
    <col min="12" max="12" width="22.140625" style="29" customWidth="1"/>
    <col min="13" max="14" width="24.28515625" style="29" customWidth="1"/>
    <col min="15" max="15" width="11.140625" style="29" bestFit="1" customWidth="1"/>
    <col min="16" max="16384" width="9.140625" style="29"/>
  </cols>
  <sheetData>
    <row r="2" spans="1:14" ht="42.75" customHeight="1" x14ac:dyDescent="0.25">
      <c r="A2" s="109" t="s">
        <v>31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s="33" customFormat="1" ht="33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</row>
    <row r="4" spans="1:14" ht="22.5" customHeight="1" x14ac:dyDescent="0.25">
      <c r="A4" s="110" t="s">
        <v>29</v>
      </c>
      <c r="B4" s="112" t="s">
        <v>23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</row>
    <row r="5" spans="1:14" ht="22.5" customHeight="1" x14ac:dyDescent="0.25">
      <c r="A5" s="111"/>
      <c r="B5" s="34" t="s">
        <v>14</v>
      </c>
      <c r="C5" s="27">
        <v>29380099</v>
      </c>
      <c r="D5" s="27">
        <v>25615818</v>
      </c>
      <c r="E5" s="27">
        <v>28069530</v>
      </c>
      <c r="F5" s="27">
        <v>25530635</v>
      </c>
      <c r="G5" s="44">
        <v>25347135</v>
      </c>
      <c r="H5" s="44">
        <v>23600449</v>
      </c>
      <c r="I5" s="44">
        <f>'[3]Мурманская область'!$L$95+'[3]Мурманская область'!$L$102</f>
        <v>23972395</v>
      </c>
      <c r="J5" s="44">
        <f>'[3]Мурманская область'!$L$111+'[3]Мурманская область'!$L$118</f>
        <v>24946992</v>
      </c>
      <c r="K5" s="44">
        <f>'[4]Мурманская область'!$L$127+'[4]Мурманская область'!$L$134</f>
        <v>23469590</v>
      </c>
      <c r="L5" s="44">
        <f>'[3]Мурманская область'!$L$143+'[3]Мурманская область'!$L$150</f>
        <v>25599811</v>
      </c>
      <c r="M5" s="44">
        <f>'[4]Мурманская область'!$L$159+'[4]Мурманская область'!$L$166</f>
        <v>26660852</v>
      </c>
      <c r="N5" s="44">
        <f>'[3]Мурманская область'!$L$175+'[3]Мурманская область'!$L$182</f>
        <v>27365224</v>
      </c>
    </row>
    <row r="6" spans="1:14" ht="22.5" customHeight="1" x14ac:dyDescent="0.25">
      <c r="A6" s="111"/>
      <c r="B6" s="34" t="s">
        <v>15</v>
      </c>
      <c r="C6" s="27">
        <v>804048</v>
      </c>
      <c r="D6" s="27">
        <v>715512</v>
      </c>
      <c r="E6" s="27">
        <v>687075</v>
      </c>
      <c r="F6" s="27">
        <v>445327</v>
      </c>
      <c r="G6" s="44">
        <v>307015</v>
      </c>
      <c r="H6" s="44">
        <v>284462</v>
      </c>
      <c r="I6" s="44">
        <f>'[3]Мурманская область'!$L$96</f>
        <v>205147</v>
      </c>
      <c r="J6" s="44">
        <f>'[3]Мурманская область'!$L$112</f>
        <v>302428</v>
      </c>
      <c r="K6" s="44">
        <f>'[4]Мурманская область'!$L$128</f>
        <v>439524</v>
      </c>
      <c r="L6" s="44">
        <f>'[3]Мурманская область'!$L$144</f>
        <v>614746</v>
      </c>
      <c r="M6" s="44">
        <f>'[4]Мурманская область'!$L$160</f>
        <v>710069</v>
      </c>
      <c r="N6" s="44">
        <f>'[3]Мурманская область'!$L$176</f>
        <v>904927</v>
      </c>
    </row>
    <row r="7" spans="1:14" ht="22.5" customHeight="1" x14ac:dyDescent="0.25">
      <c r="A7" s="111"/>
      <c r="B7" s="34" t="s">
        <v>16</v>
      </c>
      <c r="C7" s="27">
        <v>134816</v>
      </c>
      <c r="D7" s="27">
        <v>1511047</v>
      </c>
      <c r="E7" s="27">
        <v>1181429</v>
      </c>
      <c r="F7" s="27">
        <v>916871</v>
      </c>
      <c r="G7" s="44">
        <v>709276</v>
      </c>
      <c r="H7" s="44">
        <v>597524</v>
      </c>
      <c r="I7" s="44">
        <f>'[3]Мурманская область'!$L$97+'[3]Мурманская область'!$L$104</f>
        <v>489639</v>
      </c>
      <c r="J7" s="44">
        <f>'[3]Мурманская область'!$L$113+'[3]Мурманская область'!$L$120</f>
        <v>575113</v>
      </c>
      <c r="K7" s="44">
        <f>'[4]Мурманская область'!$L$129+'[4]Мурманская область'!$L$136</f>
        <v>638592</v>
      </c>
      <c r="L7" s="44">
        <f>'[3]Мурманская область'!$L$145+'[3]Мурманская область'!$L$152</f>
        <v>869498</v>
      </c>
      <c r="M7" s="44">
        <f>'[4]Мурманская область'!$L$161+'[4]Мурманская область'!$L$168</f>
        <v>903479</v>
      </c>
      <c r="N7" s="44">
        <f>'[3]Мурманская область'!$L$177+'[3]Мурманская область'!$L$184+23</f>
        <v>1062703</v>
      </c>
    </row>
    <row r="8" spans="1:14" ht="22.5" customHeight="1" x14ac:dyDescent="0.25">
      <c r="A8" s="111"/>
      <c r="B8" s="34" t="s">
        <v>17</v>
      </c>
      <c r="C8" s="27">
        <v>895</v>
      </c>
      <c r="D8" s="27">
        <v>545064</v>
      </c>
      <c r="E8" s="27">
        <v>402574</v>
      </c>
      <c r="F8" s="27">
        <v>451601</v>
      </c>
      <c r="G8" s="44">
        <v>258159</v>
      </c>
      <c r="H8" s="44">
        <v>210833</v>
      </c>
      <c r="I8" s="44">
        <f>'[3]Мурманская область'!$L$98+'[3]Мурманская область'!$L$105</f>
        <v>178001</v>
      </c>
      <c r="J8" s="44">
        <f>'[3]Мурманская область'!$L$114+'[3]Мурманская область'!$L$121</f>
        <v>165320</v>
      </c>
      <c r="K8" s="44">
        <f>'[4]Мурманская область'!$L$130+'[4]Мурманская область'!$L$137</f>
        <v>218485</v>
      </c>
      <c r="L8" s="44">
        <f>'[3]Мурманская область'!$L$146+'[3]Мурманская область'!$L$153</f>
        <v>271803</v>
      </c>
      <c r="M8" s="44">
        <f>'[4]Мурманская область'!$L$162+'[4]Мурманская область'!$L$169</f>
        <v>329290</v>
      </c>
      <c r="N8" s="44">
        <f>'[3]Мурманская область'!$L$178+'[3]Мурманская область'!$L$185</f>
        <v>353995</v>
      </c>
    </row>
    <row r="9" spans="1:14" ht="22.5" customHeight="1" x14ac:dyDescent="0.25">
      <c r="A9" s="111"/>
      <c r="B9" s="112" t="s">
        <v>24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4"/>
    </row>
    <row r="10" spans="1:14" ht="22.5" customHeight="1" x14ac:dyDescent="0.25">
      <c r="A10" s="111"/>
      <c r="B10" s="35"/>
      <c r="C10" s="28">
        <f>'[4]Мурманская область'!$L$7+'[4]Мурманская область'!$L$8+'[4]Мурманская область'!$L$9+'[4]Мурманская область'!$L$13+28283</f>
        <v>838962</v>
      </c>
      <c r="D10" s="28">
        <f>'[4]Мурманская область'!$L$22+'[4]Мурманская область'!$L$23+'[4]Мурманская область'!$L$24+'[4]Мурманская область'!$L$28+36041</f>
        <v>811347</v>
      </c>
      <c r="E10" s="28">
        <f>'[4]Мурманская область'!$L$37+'[4]Мурманская область'!$L$38+'[4]Мурманская область'!$L$39+'[4]Мурманская область'!$L$43+23546</f>
        <v>720609</v>
      </c>
      <c r="F10" s="28">
        <f>613089+23642</f>
        <v>636731</v>
      </c>
      <c r="G10" s="45">
        <f>461745+17580</f>
        <v>479325</v>
      </c>
      <c r="H10" s="45">
        <f>501313+17339</f>
        <v>518652</v>
      </c>
      <c r="I10" s="45">
        <f>413023+18032</f>
        <v>431055</v>
      </c>
      <c r="J10" s="45">
        <f>343486+14300</f>
        <v>357786</v>
      </c>
      <c r="K10" s="45">
        <f>445162+20787</f>
        <v>465949</v>
      </c>
      <c r="L10" s="45">
        <f>386921+24007</f>
        <v>410928</v>
      </c>
      <c r="M10" s="45">
        <v>627426</v>
      </c>
      <c r="N10" s="45">
        <f>636827+28753</f>
        <v>665580</v>
      </c>
    </row>
    <row r="11" spans="1:14" ht="22.5" customHeight="1" x14ac:dyDescent="0.25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</row>
    <row r="12" spans="1:14" ht="22.5" customHeight="1" x14ac:dyDescent="0.25">
      <c r="A12" s="110" t="s">
        <v>25</v>
      </c>
      <c r="B12" s="118" t="s">
        <v>23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14" ht="22.5" customHeight="1" x14ac:dyDescent="0.25">
      <c r="A13" s="111"/>
      <c r="B13" s="36" t="s">
        <v>16</v>
      </c>
      <c r="C13" s="27">
        <v>50482</v>
      </c>
      <c r="D13" s="27">
        <v>59779</v>
      </c>
      <c r="E13" s="27">
        <v>44263</v>
      </c>
      <c r="F13" s="27">
        <v>50473</v>
      </c>
      <c r="G13" s="27">
        <v>31162</v>
      </c>
      <c r="H13" s="27">
        <v>39187</v>
      </c>
      <c r="I13" s="27">
        <v>31474</v>
      </c>
      <c r="J13" s="27">
        <v>26842</v>
      </c>
      <c r="K13" s="27">
        <v>35590</v>
      </c>
      <c r="L13" s="27">
        <v>53463</v>
      </c>
      <c r="M13" s="27">
        <v>44999</v>
      </c>
      <c r="N13" s="27">
        <f>'[3]Мурманская область'!$L$187</f>
        <v>54134</v>
      </c>
    </row>
    <row r="14" spans="1:14" ht="22.5" customHeight="1" x14ac:dyDescent="0.25">
      <c r="A14" s="111"/>
      <c r="B14" s="36" t="s">
        <v>17</v>
      </c>
      <c r="C14" s="27">
        <v>19657</v>
      </c>
      <c r="D14" s="27">
        <v>17885</v>
      </c>
      <c r="E14" s="27">
        <v>17881</v>
      </c>
      <c r="F14" s="27">
        <v>15408</v>
      </c>
      <c r="G14" s="27">
        <v>13508</v>
      </c>
      <c r="H14" s="27">
        <v>17227</v>
      </c>
      <c r="I14" s="27">
        <v>16594</v>
      </c>
      <c r="J14" s="27">
        <v>16040</v>
      </c>
      <c r="K14" s="27">
        <v>19745</v>
      </c>
      <c r="L14" s="27">
        <v>15556</v>
      </c>
      <c r="M14" s="27">
        <v>18251</v>
      </c>
      <c r="N14" s="27">
        <f>'[3]Мурманская область'!$L$188</f>
        <v>18761</v>
      </c>
    </row>
    <row r="15" spans="1:14" ht="22.5" customHeight="1" x14ac:dyDescent="0.25">
      <c r="A15" s="111"/>
      <c r="B15" s="112" t="s">
        <v>24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</row>
    <row r="16" spans="1:14" ht="22.5" customHeight="1" x14ac:dyDescent="0.25">
      <c r="A16" s="111"/>
      <c r="B16" s="35"/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</row>
    <row r="17" spans="1:15" ht="22.5" customHeight="1" x14ac:dyDescent="0.25">
      <c r="A17" s="37"/>
      <c r="B17" s="38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5" ht="22.5" customHeight="1" x14ac:dyDescent="0.25">
      <c r="A18" s="107" t="s">
        <v>18</v>
      </c>
      <c r="B18" s="108"/>
      <c r="C18" s="40">
        <f>C5+C6+C7+C8+C10+C13+C14+C16</f>
        <v>31228959</v>
      </c>
      <c r="D18" s="40">
        <f t="shared" ref="D18:N18" si="0">D5+D6+D7+D8+D10+D13+D14+D16</f>
        <v>29276452</v>
      </c>
      <c r="E18" s="40">
        <f t="shared" si="0"/>
        <v>31123361</v>
      </c>
      <c r="F18" s="40">
        <f t="shared" si="0"/>
        <v>28047046</v>
      </c>
      <c r="G18" s="40">
        <f t="shared" si="0"/>
        <v>27145580</v>
      </c>
      <c r="H18" s="40">
        <f t="shared" si="0"/>
        <v>25268334</v>
      </c>
      <c r="I18" s="40">
        <f t="shared" si="0"/>
        <v>25324305</v>
      </c>
      <c r="J18" s="40">
        <f>J5+J6+J7+J8+J10+J13+J14+J16</f>
        <v>26390521</v>
      </c>
      <c r="K18" s="40">
        <f t="shared" si="0"/>
        <v>25287475</v>
      </c>
      <c r="L18" s="40">
        <f t="shared" si="0"/>
        <v>27835805</v>
      </c>
      <c r="M18" s="40">
        <f t="shared" si="0"/>
        <v>29294366</v>
      </c>
      <c r="N18" s="40">
        <f t="shared" si="0"/>
        <v>30425324</v>
      </c>
      <c r="O18" s="41"/>
    </row>
    <row r="20" spans="1:15" x14ac:dyDescent="0.25">
      <c r="M20" s="43"/>
    </row>
    <row r="21" spans="1:15" x14ac:dyDescent="0.25">
      <c r="M21" s="41"/>
    </row>
    <row r="23" spans="1:15" x14ac:dyDescent="0.25">
      <c r="L23" s="41"/>
    </row>
    <row r="28" spans="1:15" x14ac:dyDescent="0.25">
      <c r="E28" s="41"/>
      <c r="F28" s="41"/>
    </row>
  </sheetData>
  <mergeCells count="9">
    <mergeCell ref="A18:B18"/>
    <mergeCell ref="A2:N2"/>
    <mergeCell ref="A4:A10"/>
    <mergeCell ref="B4:N4"/>
    <mergeCell ref="B9:N9"/>
    <mergeCell ref="A11:N11"/>
    <mergeCell ref="A12:A16"/>
    <mergeCell ref="B12:N12"/>
    <mergeCell ref="B15:N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zoomScale="70" zoomScaleNormal="70" workbookViewId="0">
      <pane xSplit="2" ySplit="4" topLeftCell="C5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14" width="19.28515625" style="29" customWidth="1"/>
    <col min="15" max="15" width="11.140625" style="47" customWidth="1"/>
    <col min="16" max="16" width="9.140625" style="29"/>
    <col min="17" max="17" width="11.5703125" style="47" bestFit="1" customWidth="1"/>
    <col min="18" max="16384" width="9.140625" style="29"/>
  </cols>
  <sheetData>
    <row r="2" spans="1:17" ht="42.75" customHeight="1" x14ac:dyDescent="0.25">
      <c r="A2" s="109" t="s">
        <v>32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7" s="33" customFormat="1" ht="33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48"/>
      <c r="Q3" s="48"/>
    </row>
    <row r="4" spans="1:17" ht="22.5" customHeight="1" x14ac:dyDescent="0.25">
      <c r="A4" s="123" t="s">
        <v>29</v>
      </c>
      <c r="B4" s="125" t="s">
        <v>23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1:17" ht="22.5" customHeight="1" x14ac:dyDescent="0.25">
      <c r="A5" s="124"/>
      <c r="B5" s="49" t="s">
        <v>14</v>
      </c>
      <c r="C5" s="50">
        <f>'[5]Мурманская область'!$L$3+'[5]Мурманская область'!$L$10</f>
        <v>27802276</v>
      </c>
      <c r="D5" s="50">
        <f>'[5]Мурманская область'!$L$19+'[5]Мурманская область'!$L$26</f>
        <v>24870601</v>
      </c>
      <c r="E5" s="50">
        <f>'[6]Мурманская область'!$L$35+'[6]Мурманская область'!$L$42</f>
        <v>26207193</v>
      </c>
      <c r="F5" s="50">
        <f>'[6]Мурманская область'!$L$51+'[6]Мурманская область'!$L$58</f>
        <v>23316200</v>
      </c>
      <c r="G5" s="50">
        <f>'[6]Мурманская область'!$L$67+'[6]Мурманская область'!$L$74</f>
        <v>22948135</v>
      </c>
      <c r="H5" s="50">
        <f>'[6]Мурманская область'!$L$83+'[6]Мурманская область'!$L$90</f>
        <v>21921134</v>
      </c>
      <c r="I5" s="50">
        <f>'[6]Мурманская область'!$L$99+'[6]Мурманская область'!$L$106</f>
        <v>22366141</v>
      </c>
      <c r="J5" s="50">
        <f>'[6]Мурманская область'!$L$116+'[6]Мурманская область'!$L$123</f>
        <v>22661278</v>
      </c>
      <c r="K5" s="50">
        <f>'[6]Мурманская область'!$L$133+'[6]Мурманская область'!$L$140</f>
        <v>21772667</v>
      </c>
      <c r="L5" s="50">
        <f>'[6]Мурманская область'!$L$150+'[6]Мурманская область'!$L$157</f>
        <v>24162359</v>
      </c>
      <c r="M5" s="50">
        <f>'[6]Мурманская область'!$L$167+'[6]Мурманская область'!$L$174</f>
        <v>25424104</v>
      </c>
      <c r="N5" s="50">
        <f>'[6]Мурманская область'!$L$184+'[6]Мурманская область'!$L$191</f>
        <v>26723003</v>
      </c>
      <c r="O5" s="47">
        <f>N5/M5</f>
        <v>1.0510892733918962</v>
      </c>
      <c r="Q5" s="46">
        <f>AVERAGE(C5:N5)</f>
        <v>24181257.583333332</v>
      </c>
    </row>
    <row r="6" spans="1:17" ht="22.5" customHeight="1" x14ac:dyDescent="0.25">
      <c r="A6" s="124"/>
      <c r="B6" s="49" t="s">
        <v>15</v>
      </c>
      <c r="C6" s="50">
        <f>'[5]Мурманская область'!$L$4+'[5]Мурманская область'!$L$11</f>
        <v>975947</v>
      </c>
      <c r="D6" s="50">
        <f>'[5]Мурманская область'!$L$20+'[5]Мурманская область'!$L$27</f>
        <v>764605</v>
      </c>
      <c r="E6" s="50">
        <f>'[6]Мурманская область'!$L$36+'[6]Мурманская область'!$L$43</f>
        <v>717603</v>
      </c>
      <c r="F6" s="50">
        <f>'[6]Мурманская область'!$L$52+'[6]Мурманская область'!$L$59</f>
        <v>426345</v>
      </c>
      <c r="G6" s="50">
        <f>'[6]Мурманская область'!$L$68+'[6]Мурманская область'!$L$75</f>
        <v>449688</v>
      </c>
      <c r="H6" s="50">
        <f>'[6]Мурманская область'!$L$84+'[6]Мурманская область'!$L$91</f>
        <v>405975</v>
      </c>
      <c r="I6" s="50">
        <f>'[6]Мурманская область'!$L$100+'[6]Мурманская область'!$L$107</f>
        <v>441023</v>
      </c>
      <c r="J6" s="50">
        <f>'[6]Мурманская область'!$L$117+'[6]Мурманская область'!$L$124</f>
        <v>445858</v>
      </c>
      <c r="K6" s="50">
        <f>'[6]Мурманская область'!$L$134</f>
        <v>408062</v>
      </c>
      <c r="L6" s="50">
        <f>'[6]Мурманская область'!$L$151</f>
        <v>755951</v>
      </c>
      <c r="M6" s="50">
        <f>'[6]Мурманская область'!$L$168+'[6]Мурманская область'!$L$175</f>
        <v>749128</v>
      </c>
      <c r="N6" s="50">
        <f>'[6]Мурманская область'!$L$185+'[6]Мурманская область'!$L$192</f>
        <v>834616</v>
      </c>
      <c r="O6" s="47">
        <f t="shared" ref="O6:O8" si="0">N6/M6</f>
        <v>1.1141166796595507</v>
      </c>
      <c r="Q6" s="46">
        <f t="shared" ref="Q6:Q14" si="1">AVERAGE(C6:N6)</f>
        <v>614566.75</v>
      </c>
    </row>
    <row r="7" spans="1:17" ht="22.5" customHeight="1" x14ac:dyDescent="0.25">
      <c r="A7" s="124"/>
      <c r="B7" s="49" t="s">
        <v>16</v>
      </c>
      <c r="C7" s="50">
        <f>'[5]Мурманская область'!$L$5+'[5]Мурманская область'!$L$12+5</f>
        <v>1133576</v>
      </c>
      <c r="D7" s="50">
        <f>'[5]Мурманская область'!$L$21+'[5]Мурманская область'!$L$28+5</f>
        <v>1094212</v>
      </c>
      <c r="E7" s="50">
        <f>'[6]Мурманская область'!$L$37+'[6]Мурманская область'!$L$44</f>
        <v>1052190</v>
      </c>
      <c r="F7" s="50">
        <f>('[6]Мурманская область'!$L$53+'[6]Мурманская область'!$L$60)+5</f>
        <v>923330</v>
      </c>
      <c r="G7" s="50">
        <f>'[6]Мурманская область'!$L$69+'[6]Мурманская область'!$L$76</f>
        <v>703396</v>
      </c>
      <c r="H7" s="50">
        <f>'[6]Мурманская область'!$L$85+'[6]Мурманская область'!$L$92</f>
        <v>595187</v>
      </c>
      <c r="I7" s="50">
        <f>'[6]Мурманская область'!$L$101+'[6]Мурманская область'!$L$108</f>
        <v>581002</v>
      </c>
      <c r="J7" s="50">
        <f>'[6]Мурманская область'!$L$118+'[6]Мурманская область'!$L$125</f>
        <v>599286</v>
      </c>
      <c r="K7" s="50">
        <f>'[6]Мурманская область'!$L$135+'[6]Мурманская область'!$L$142</f>
        <v>683194</v>
      </c>
      <c r="L7" s="50">
        <f>'[6]Мурманская область'!$L$152+'[6]Мурманская область'!$L$159</f>
        <v>885299</v>
      </c>
      <c r="M7" s="50">
        <f>'[6]Мурманская область'!$L$169+'[6]Мурманская область'!$L$176</f>
        <v>1127509</v>
      </c>
      <c r="N7" s="50">
        <f>'[6]Мурманская область'!$L$186+'[6]Мурманская область'!$L$193</f>
        <v>1169158</v>
      </c>
      <c r="O7" s="47">
        <f t="shared" si="0"/>
        <v>1.0369389512633602</v>
      </c>
      <c r="Q7" s="46">
        <f t="shared" si="1"/>
        <v>878944.91666666663</v>
      </c>
    </row>
    <row r="8" spans="1:17" ht="22.5" customHeight="1" x14ac:dyDescent="0.25">
      <c r="A8" s="124"/>
      <c r="B8" s="49" t="s">
        <v>17</v>
      </c>
      <c r="C8" s="50">
        <f>'[5]Мурманская область'!$L$6+'[5]Мурманская область'!$L$13</f>
        <v>410545</v>
      </c>
      <c r="D8" s="50">
        <f>'[5]Мурманская область'!$L$22+'[5]Мурманская область'!$L$29+5</f>
        <v>367992</v>
      </c>
      <c r="E8" s="50">
        <f>'[6]Мурманская область'!$L$38+'[6]Мурманская область'!$L$45+5</f>
        <v>356690</v>
      </c>
      <c r="F8" s="50">
        <f>'[6]Мурманская область'!$L$54+'[6]Мурманская область'!$L$61+5</f>
        <v>311673</v>
      </c>
      <c r="G8" s="50">
        <f>'[6]Мурманская область'!$L$70+'[6]Мурманская область'!$L$77+4</f>
        <v>244939</v>
      </c>
      <c r="H8" s="50">
        <f>'[6]Мурманская область'!$L$86+'[6]Мурманская область'!$L$93+10</f>
        <v>204688</v>
      </c>
      <c r="I8" s="50">
        <f>'[6]Мурманская область'!$L$102+'[6]Мурманская область'!$L$109+4</f>
        <v>179138</v>
      </c>
      <c r="J8" s="50">
        <f>'[6]Мурманская область'!$L$119+'[6]Мурманская область'!$L$126+3</f>
        <v>182210</v>
      </c>
      <c r="K8" s="50">
        <f>('[6]Мурманская область'!$L$136+'[6]Мурманская область'!$L$143)+3</f>
        <v>224573</v>
      </c>
      <c r="L8" s="50">
        <f>'[6]Мурманская область'!$L$153+'[6]Мурманская область'!$L$160+13</f>
        <v>306620</v>
      </c>
      <c r="M8" s="50">
        <f>'[6]Мурманская область'!$L$170+'[6]Мурманская область'!$L$177+4</f>
        <v>334608</v>
      </c>
      <c r="N8" s="50">
        <f>'[6]Мурманская область'!$L$187+'[6]Мурманская область'!$L$194+3</f>
        <v>361803</v>
      </c>
      <c r="O8" s="47">
        <f t="shared" si="0"/>
        <v>1.0812742074307846</v>
      </c>
      <c r="Q8" s="46">
        <f t="shared" si="1"/>
        <v>290456.58333333331</v>
      </c>
    </row>
    <row r="9" spans="1:17" ht="22.5" customHeight="1" x14ac:dyDescent="0.25">
      <c r="A9" s="124"/>
      <c r="B9" s="125" t="s">
        <v>24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  <c r="Q9" s="46"/>
    </row>
    <row r="10" spans="1:17" ht="22.5" customHeight="1" x14ac:dyDescent="0.25">
      <c r="A10" s="124"/>
      <c r="B10" s="51"/>
      <c r="C10" s="52">
        <f>802914+32157</f>
        <v>835071</v>
      </c>
      <c r="D10" s="52">
        <f>800352+30984</f>
        <v>831336</v>
      </c>
      <c r="E10" s="52">
        <f>678763+29889</f>
        <v>708652</v>
      </c>
      <c r="F10" s="52">
        <v>602077</v>
      </c>
      <c r="G10" s="52">
        <f>SUM('[6]Мурманская область'!$L$71:$L$73,'[6]Мурманская область'!$L$78)+18845</f>
        <v>488605</v>
      </c>
      <c r="H10" s="52">
        <f>SUM('[6]Мурманская область'!$L$87:$L$89,'[6]Мурманская область'!$L$94)+18274</f>
        <v>539993</v>
      </c>
      <c r="I10" s="52">
        <f>SUM('[6]Мурманская область'!$L$103:$L$105,'[6]Мурманская область'!$L$110:$L$111)+23717</f>
        <v>505560</v>
      </c>
      <c r="J10" s="52">
        <f>SUM('[6]Мурманская область'!$L$120:$L$122,'[6]Мурманская область'!$L$127:$L$128)+21912</f>
        <v>499809</v>
      </c>
      <c r="K10" s="52">
        <f>(SUM('[6]Мурманская область'!$L$137:$L$139,'[6]Мурманская область'!$L$144:$L$145 ))+19029</f>
        <v>569631</v>
      </c>
      <c r="L10" s="50">
        <f>SUM('[6]Мурманская область'!$L$154:$L$156,'[6]Мурманская область'!$L$161:$L$162)+21831</f>
        <v>528458</v>
      </c>
      <c r="M10" s="52">
        <f>SUM('[6]Мурманская область'!$L$171:$L$173,'[6]Мурманская область'!$L$178:$L$179)+35054</f>
        <v>729856</v>
      </c>
      <c r="N10" s="52">
        <f>SUM('[6]Мурманская область'!$L$188:$L$190,'[6]Мурманская область'!$L$195:$L$196)+25484</f>
        <v>814955</v>
      </c>
      <c r="O10" s="47">
        <f>N10/M10</f>
        <v>1.1165969725534901</v>
      </c>
      <c r="Q10" s="46">
        <f t="shared" si="1"/>
        <v>637833.58333333337</v>
      </c>
    </row>
    <row r="11" spans="1:17" ht="22.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  <c r="Q11" s="46"/>
    </row>
    <row r="12" spans="1:17" ht="22.5" customHeight="1" x14ac:dyDescent="0.25">
      <c r="A12" s="123" t="s">
        <v>25</v>
      </c>
      <c r="B12" s="131" t="s">
        <v>23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  <c r="Q12" s="46"/>
    </row>
    <row r="13" spans="1:17" ht="22.5" customHeight="1" x14ac:dyDescent="0.25">
      <c r="A13" s="124"/>
      <c r="B13" s="53" t="s">
        <v>16</v>
      </c>
      <c r="C13" s="50">
        <v>62563</v>
      </c>
      <c r="D13" s="50">
        <v>59217</v>
      </c>
      <c r="E13" s="50">
        <v>42597</v>
      </c>
      <c r="F13" s="50">
        <v>46645</v>
      </c>
      <c r="G13" s="50">
        <v>41096</v>
      </c>
      <c r="H13" s="50">
        <f>'[6]Мурманская область'!$L$95</f>
        <v>60382</v>
      </c>
      <c r="I13" s="50">
        <f>'[6]Мурманская область'!$L$112</f>
        <v>57701</v>
      </c>
      <c r="J13" s="50">
        <f>'[6]Мурманская область'!$L$129</f>
        <v>62671</v>
      </c>
      <c r="K13" s="50">
        <f>'[6]Мурманская область'!$L$146</f>
        <v>66268</v>
      </c>
      <c r="L13" s="50">
        <f>'[6]Мурманская область'!$L$163</f>
        <v>57701</v>
      </c>
      <c r="M13" s="50">
        <f>'[6]Мурманская область'!$L$180</f>
        <v>80491</v>
      </c>
      <c r="N13" s="50">
        <v>79812</v>
      </c>
      <c r="O13" s="47">
        <f t="shared" ref="O13:O14" si="2">N13/M13</f>
        <v>0.99156427426668825</v>
      </c>
      <c r="Q13" s="46">
        <f t="shared" si="1"/>
        <v>59762</v>
      </c>
    </row>
    <row r="14" spans="1:17" ht="22.5" customHeight="1" x14ac:dyDescent="0.25">
      <c r="A14" s="124"/>
      <c r="B14" s="53" t="s">
        <v>17</v>
      </c>
      <c r="C14" s="50">
        <v>16519</v>
      </c>
      <c r="D14" s="50">
        <v>17783</v>
      </c>
      <c r="E14" s="50">
        <v>15967</v>
      </c>
      <c r="F14" s="50">
        <v>30189</v>
      </c>
      <c r="G14" s="50">
        <v>27057</v>
      </c>
      <c r="H14" s="50">
        <f>'[6]Мурманская область'!$L$96</f>
        <v>30904</v>
      </c>
      <c r="I14" s="50">
        <f>'[6]Мурманская область'!$L$113</f>
        <v>31521</v>
      </c>
      <c r="J14" s="50">
        <f>'[6]Мурманская область'!$L$130</f>
        <v>38642</v>
      </c>
      <c r="K14" s="50">
        <f>'[6]Мурманская область'!$L$147</f>
        <v>31699</v>
      </c>
      <c r="L14" s="50">
        <f>'[6]Мурманская область'!$L$164</f>
        <v>31521</v>
      </c>
      <c r="M14" s="50">
        <f>'[6]Мурманская область'!$L$181</f>
        <v>28431</v>
      </c>
      <c r="N14" s="50">
        <v>70013</v>
      </c>
      <c r="O14" s="47">
        <f t="shared" si="2"/>
        <v>2.4625584749041538</v>
      </c>
      <c r="Q14" s="46">
        <f t="shared" si="1"/>
        <v>30853.833333333332</v>
      </c>
    </row>
    <row r="15" spans="1:17" ht="22.5" customHeight="1" x14ac:dyDescent="0.25">
      <c r="A15" s="124"/>
      <c r="B15" s="125" t="s">
        <v>24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7"/>
    </row>
    <row r="16" spans="1:17" ht="22.5" customHeight="1" x14ac:dyDescent="0.25">
      <c r="A16" s="124"/>
      <c r="B16" s="51"/>
      <c r="C16" s="52">
        <v>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5" ht="22.5" customHeight="1" x14ac:dyDescent="0.25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5" ht="22.5" customHeight="1" x14ac:dyDescent="0.25">
      <c r="A18" s="121" t="s">
        <v>18</v>
      </c>
      <c r="B18" s="122"/>
      <c r="C18" s="57">
        <f>C5+C6+C7+C8+C10+C13+C14+C16</f>
        <v>31236497</v>
      </c>
      <c r="D18" s="57">
        <f t="shared" ref="D18:N18" si="3">D5+D6+D7+D8+D10+D13+D14+D16</f>
        <v>28005746</v>
      </c>
      <c r="E18" s="57">
        <f t="shared" si="3"/>
        <v>29100892</v>
      </c>
      <c r="F18" s="57">
        <f t="shared" si="3"/>
        <v>25656459</v>
      </c>
      <c r="G18" s="57">
        <f t="shared" si="3"/>
        <v>24902916</v>
      </c>
      <c r="H18" s="57">
        <f t="shared" si="3"/>
        <v>23758263</v>
      </c>
      <c r="I18" s="57">
        <f t="shared" si="3"/>
        <v>24162086</v>
      </c>
      <c r="J18" s="57">
        <f>J5+J6+J7+J8+J10+J13+J14+J16</f>
        <v>24489754</v>
      </c>
      <c r="K18" s="57">
        <f t="shared" si="3"/>
        <v>23756094</v>
      </c>
      <c r="L18" s="57">
        <f t="shared" si="3"/>
        <v>26727909</v>
      </c>
      <c r="M18" s="57">
        <f t="shared" si="3"/>
        <v>28474127</v>
      </c>
      <c r="N18" s="57">
        <f t="shared" si="3"/>
        <v>30053360</v>
      </c>
      <c r="O18" s="46"/>
    </row>
    <row r="19" spans="1:15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5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  <c r="N20" s="58"/>
    </row>
    <row r="21" spans="1:15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60"/>
      <c r="N21" s="58"/>
    </row>
    <row r="22" spans="1:15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5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0"/>
      <c r="M23" s="58"/>
      <c r="N23" s="58"/>
    </row>
    <row r="24" spans="1:15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5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5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5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1:15" x14ac:dyDescent="0.25">
      <c r="A28" s="58"/>
      <c r="B28" s="58"/>
      <c r="C28" s="58"/>
      <c r="D28" s="58"/>
      <c r="E28" s="60"/>
      <c r="F28" s="60"/>
      <c r="G28" s="58"/>
      <c r="H28" s="58"/>
      <c r="I28" s="58"/>
      <c r="J28" s="58"/>
      <c r="K28" s="58"/>
      <c r="L28" s="58"/>
      <c r="M28" s="58"/>
      <c r="N28" s="58"/>
    </row>
    <row r="29" spans="1:15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5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spans="1:15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</sheetData>
  <mergeCells count="9">
    <mergeCell ref="A18:B18"/>
    <mergeCell ref="A2:N2"/>
    <mergeCell ref="A4:A10"/>
    <mergeCell ref="B4:N4"/>
    <mergeCell ref="B9:N9"/>
    <mergeCell ref="A11:N11"/>
    <mergeCell ref="A12:A16"/>
    <mergeCell ref="B12:N12"/>
    <mergeCell ref="B15:N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8"/>
  <sheetViews>
    <sheetView zoomScale="75" zoomScaleNormal="75" workbookViewId="0">
      <selection activeCell="E29" sqref="E29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6" width="19.28515625" style="29" customWidth="1"/>
    <col min="7" max="7" width="19.28515625" style="29" hidden="1" customWidth="1"/>
    <col min="8" max="8" width="19.28515625" style="29" customWidth="1"/>
    <col min="9" max="9" width="19.28515625" style="29" hidden="1" customWidth="1"/>
    <col min="10" max="10" width="19.28515625" style="29" customWidth="1"/>
    <col min="11" max="11" width="19.28515625" style="29" hidden="1" customWidth="1"/>
    <col min="12" max="12" width="19.28515625" style="29" customWidth="1"/>
    <col min="13" max="13" width="19.28515625" style="29" hidden="1" customWidth="1"/>
    <col min="14" max="14" width="19.28515625" style="29" customWidth="1"/>
    <col min="15" max="15" width="19.28515625" style="29" hidden="1" customWidth="1"/>
    <col min="16" max="16" width="19.28515625" style="29" customWidth="1"/>
    <col min="17" max="17" width="19.28515625" style="29" hidden="1" customWidth="1"/>
    <col min="18" max="18" width="19.28515625" style="29" customWidth="1"/>
    <col min="19" max="19" width="19.28515625" style="29" hidden="1" customWidth="1"/>
    <col min="20" max="20" width="19.28515625" style="29" customWidth="1"/>
    <col min="21" max="21" width="19.28515625" style="29" hidden="1" customWidth="1"/>
    <col min="22" max="22" width="19.28515625" style="29" customWidth="1"/>
    <col min="23" max="23" width="11.140625" style="47" bestFit="1" customWidth="1"/>
    <col min="24" max="16384" width="9.140625" style="29"/>
  </cols>
  <sheetData>
    <row r="2" spans="1:23" ht="42.75" customHeight="1" x14ac:dyDescent="0.25">
      <c r="A2" s="109" t="s">
        <v>33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3" s="33" customFormat="1" ht="33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/>
      <c r="H3" s="32" t="s">
        <v>6</v>
      </c>
      <c r="I3" s="32"/>
      <c r="J3" s="32" t="s">
        <v>7</v>
      </c>
      <c r="K3" s="32"/>
      <c r="L3" s="32" t="s">
        <v>8</v>
      </c>
      <c r="M3" s="32"/>
      <c r="N3" s="32" t="s">
        <v>9</v>
      </c>
      <c r="O3" s="32"/>
      <c r="P3" s="32" t="s">
        <v>10</v>
      </c>
      <c r="Q3" s="32"/>
      <c r="R3" s="32" t="s">
        <v>11</v>
      </c>
      <c r="S3" s="32"/>
      <c r="T3" s="32" t="s">
        <v>12</v>
      </c>
      <c r="U3" s="32"/>
      <c r="V3" s="32" t="s">
        <v>13</v>
      </c>
      <c r="W3" s="48"/>
    </row>
    <row r="4" spans="1:23" ht="22.5" customHeight="1" x14ac:dyDescent="0.25">
      <c r="A4" s="123" t="s">
        <v>34</v>
      </c>
      <c r="B4" s="125" t="s">
        <v>23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7"/>
    </row>
    <row r="5" spans="1:23" ht="22.5" customHeight="1" x14ac:dyDescent="0.25">
      <c r="A5" s="124"/>
      <c r="B5" s="49" t="s">
        <v>14</v>
      </c>
      <c r="C5" s="50">
        <f>'[7]Мурманская область'!$L$3+'[7]Мурманская область'!$L$10</f>
        <v>27539984</v>
      </c>
      <c r="D5" s="50">
        <f>'[7]Мурманская область'!$L$20+'[7]Мурманская область'!$L$27</f>
        <v>22958666</v>
      </c>
      <c r="E5" s="50">
        <f>'[7]Мурманская область'!$L$37+'[7]Мурманская область'!$L$44</f>
        <v>25714241</v>
      </c>
      <c r="F5" s="50">
        <f>'[7]Мурманская область'!$L$54+'[7]Мурманская область'!$L$61</f>
        <v>22720907</v>
      </c>
      <c r="G5" s="50">
        <v>0.98421419442276181</v>
      </c>
      <c r="H5" s="50">
        <f>'[7]Мурманская область'!$L$71+'[7]Мурманская область'!$L$78</f>
        <v>21964717</v>
      </c>
      <c r="I5" s="50">
        <v>0.95524686428766437</v>
      </c>
      <c r="J5" s="50">
        <f>'[7]Мурманская область'!$L$88+'[7]Мурманская область'!$L$95</f>
        <v>14326309</v>
      </c>
      <c r="K5" s="50">
        <v>1.0203003640231385</v>
      </c>
      <c r="L5" s="50">
        <f>'[7]Мурманская область'!$L$105+'[7]Мурманская область'!$L$112</f>
        <v>18597072</v>
      </c>
      <c r="M5" s="50">
        <v>1.0131957050615035</v>
      </c>
      <c r="N5" s="50">
        <f>'[7]Мурманская область'!$L$122+'[7]Мурманская область'!$L$129</f>
        <v>20267198</v>
      </c>
      <c r="O5" s="50">
        <v>0.96078725127506048</v>
      </c>
      <c r="P5" s="50">
        <f>'[7]Мурманская область'!$L$139+'[7]Мурманская область'!$L$146</f>
        <v>19795079</v>
      </c>
      <c r="Q5" s="50">
        <v>1.1097565126036235</v>
      </c>
      <c r="R5" s="50">
        <v>23695183</v>
      </c>
      <c r="S5" s="50">
        <v>1.0522194459572429</v>
      </c>
      <c r="T5" s="50">
        <f>'[7]Мурманская область'!$L$173+'[7]Мурманская область'!$L$180</f>
        <v>23938001</v>
      </c>
      <c r="U5" s="50">
        <v>1.0510892733918962</v>
      </c>
      <c r="V5" s="50">
        <f>'[7]Мурманская область'!$L$190+'[7]Мурманская область'!$L$197</f>
        <v>26177877</v>
      </c>
      <c r="W5" s="47">
        <f>'2021'!C5/'2020'!V5</f>
        <v>0.96741129924325031</v>
      </c>
    </row>
    <row r="6" spans="1:23" ht="22.5" customHeight="1" x14ac:dyDescent="0.25">
      <c r="A6" s="124"/>
      <c r="B6" s="49" t="s">
        <v>15</v>
      </c>
      <c r="C6" s="50">
        <f>'[7]Мурманская область'!$L$4+'[7]Мурманская область'!$L$11+'[7]Мурманская область'!$L$16</f>
        <v>1037441.9999999999</v>
      </c>
      <c r="D6" s="50">
        <f>'[7]Мурманская область'!$L$21+'[7]Мурманская область'!$L$28+'[7]Мурманская область'!$L$33</f>
        <v>524266.99999999977</v>
      </c>
      <c r="E6" s="50">
        <f>'[7]Мурманская область'!$L$38+'[7]Мурманская область'!$L$45+'[7]Мурманская область'!$L$50</f>
        <v>738615</v>
      </c>
      <c r="F6" s="50">
        <f>'[7]Мурманская область'!$L$55+'[7]Мурманская область'!$L$62+'[7]Мурманская область'!$L$67</f>
        <v>574678</v>
      </c>
      <c r="G6" s="50">
        <v>1.0547514336980615</v>
      </c>
      <c r="H6" s="50">
        <f>'[7]Мурманская область'!$L$72+'[7]Мурманская область'!$L$79+'[7]Мурманская область'!$L$84</f>
        <v>366250.99999999994</v>
      </c>
      <c r="I6" s="50">
        <v>0.90279260287132412</v>
      </c>
      <c r="J6" s="50">
        <f>'[7]Мурманская область'!$L$89+'[7]Мурманская область'!$L$96+'[7]Мурманская область'!$L$101</f>
        <v>276905</v>
      </c>
      <c r="K6" s="50">
        <v>1.086330439066445</v>
      </c>
      <c r="L6" s="50">
        <f>'[7]Мурманская область'!$L$106+'[7]Мурманская область'!$L$113+'[7]Мурманская область'!$L$118</f>
        <v>229801</v>
      </c>
      <c r="M6" s="50">
        <v>1.0109631470467526</v>
      </c>
      <c r="N6" s="50">
        <f>'[7]Мурманская область'!$L$123+'[7]Мурманская область'!$L$130+'[7]Мурманская область'!$L$135</f>
        <v>291021</v>
      </c>
      <c r="O6" s="50">
        <v>0.91522861538875611</v>
      </c>
      <c r="P6" s="50">
        <f>'[7]Мурманская область'!$L$140+'[7]Мурманская область'!$L$147+'[7]Мурманская область'!$L$152</f>
        <v>421093.99999999994</v>
      </c>
      <c r="Q6" s="50">
        <v>1.852539565066093</v>
      </c>
      <c r="R6" s="50">
        <v>557284</v>
      </c>
      <c r="S6" s="50">
        <v>0.99097428272467392</v>
      </c>
      <c r="T6" s="50">
        <f>'[7]Мурманская область'!$L$174+'[7]Мурманская область'!$L$181+'[7]Мурманская область'!$L$186</f>
        <v>606907</v>
      </c>
      <c r="U6" s="50">
        <v>1.1141166796595507</v>
      </c>
      <c r="V6" s="50">
        <f>'[7]Мурманская область'!$L$191+'[7]Мурманская область'!$L$198+'[7]Мурманская область'!$L$203</f>
        <v>763918</v>
      </c>
      <c r="W6" s="47">
        <f>'2021'!C6/'2020'!V6</f>
        <v>1.0662531842422878</v>
      </c>
    </row>
    <row r="7" spans="1:23" ht="22.5" customHeight="1" x14ac:dyDescent="0.25">
      <c r="A7" s="124"/>
      <c r="B7" s="49" t="s">
        <v>16</v>
      </c>
      <c r="C7" s="50">
        <f>'[7]Мурманская область'!$L$5+'[7]Мурманская область'!$L$12</f>
        <v>1226239</v>
      </c>
      <c r="D7" s="50">
        <f>'[7]Мурманская область'!$L$22+'[7]Мурманская область'!$L$29</f>
        <v>1201248</v>
      </c>
      <c r="E7" s="50">
        <f>'[7]Мурманская область'!$L$39+'[7]Мурманская область'!$L$46</f>
        <v>1141916</v>
      </c>
      <c r="F7" s="50">
        <f>'[7]Мурманская область'!$L$56+'[7]Мурманская область'!$L$63</f>
        <v>984683</v>
      </c>
      <c r="G7" s="50">
        <v>0.76180347221470113</v>
      </c>
      <c r="H7" s="50">
        <f>'[7]Мурманская область'!$L$73+'[7]Мурманская область'!$L$80</f>
        <v>810557</v>
      </c>
      <c r="I7" s="50">
        <v>0.84616204812083096</v>
      </c>
      <c r="J7" s="50">
        <f>'[7]Мурманская область'!$L$90+'[7]Мурманская область'!$L$97</f>
        <v>543798</v>
      </c>
      <c r="K7" s="50">
        <v>0.97616715418851552</v>
      </c>
      <c r="L7" s="50">
        <f>'[7]Мурманская область'!$L$107+'[7]Мурманская область'!$L$114</f>
        <v>436067</v>
      </c>
      <c r="M7" s="50">
        <v>1.0314697711883951</v>
      </c>
      <c r="N7" s="50">
        <f>'[7]Мурманская область'!$L$124+'[7]Мурманская область'!$L$131</f>
        <v>606445</v>
      </c>
      <c r="O7" s="50">
        <v>1.1400132824728093</v>
      </c>
      <c r="P7" s="50">
        <f>'[7]Мурманская область'!$L$141+'[7]Мурманская область'!$L$148</f>
        <v>745385</v>
      </c>
      <c r="Q7" s="50">
        <v>1.2958237338149925</v>
      </c>
      <c r="R7" s="50">
        <v>919568</v>
      </c>
      <c r="S7" s="50">
        <v>1.2735911821881647</v>
      </c>
      <c r="T7" s="50">
        <f>'[7]Мурманская область'!$L$175+'[7]Мурманская область'!$L$182</f>
        <v>1044307</v>
      </c>
      <c r="U7" s="50">
        <v>1.0369389512633602</v>
      </c>
      <c r="V7" s="50">
        <f>'[7]Мурманская область'!$L$192+'[7]Мурманская область'!$L$199</f>
        <v>1199920</v>
      </c>
      <c r="W7" s="47">
        <f>'2021'!C7/'2020'!V7</f>
        <v>1.1404551970131342</v>
      </c>
    </row>
    <row r="8" spans="1:23" ht="22.5" customHeight="1" x14ac:dyDescent="0.25">
      <c r="A8" s="124"/>
      <c r="B8" s="49" t="s">
        <v>17</v>
      </c>
      <c r="C8" s="50">
        <f>'[7]Мурманская область'!$L$6+'[7]Мурманская область'!$L$13+3</f>
        <v>364981</v>
      </c>
      <c r="D8" s="50">
        <f>'[7]Мурманская область'!$L$23+'[7]Мурманская область'!$L$30+2</f>
        <v>345771</v>
      </c>
      <c r="E8" s="50">
        <f>'[7]Мурманская область'!$L$40+'[7]Мурманская область'!$L$47+4</f>
        <v>312550</v>
      </c>
      <c r="F8" s="50">
        <f>'[7]Мурманская область'!$L$57+'[7]Мурманская область'!$L$64+3</f>
        <v>275081</v>
      </c>
      <c r="G8" s="50">
        <v>0.78588456491258463</v>
      </c>
      <c r="H8" s="50">
        <f>'[7]Мурманская область'!$L$74+'[7]Мурманская область'!$L$81+3</f>
        <v>208263</v>
      </c>
      <c r="I8" s="50">
        <v>0.83566928908830362</v>
      </c>
      <c r="J8" s="50">
        <f>'[7]Мурманская область'!$L$91+'[7]Мурманская область'!$L$98+4</f>
        <v>152802</v>
      </c>
      <c r="K8" s="50">
        <v>0.87517587743297121</v>
      </c>
      <c r="L8" s="50">
        <f>'[7]Мурманская область'!$L$108+'[7]Мурманская область'!$L$115+4</f>
        <v>157627</v>
      </c>
      <c r="M8" s="50">
        <v>1.0171487903180787</v>
      </c>
      <c r="N8" s="50">
        <f>'[7]Мурманская область'!$L$125+'[7]Мурманская область'!$L$132+3</f>
        <v>144134</v>
      </c>
      <c r="O8" s="50">
        <v>1.2324954722572856</v>
      </c>
      <c r="P8" s="50">
        <f>'[7]Мурманская область'!$L$142+'[7]Мурманская область'!$L$149+5</f>
        <v>228511</v>
      </c>
      <c r="Q8" s="50">
        <v>1.3653466801440957</v>
      </c>
      <c r="R8" s="50">
        <f>248720+4</f>
        <v>248724</v>
      </c>
      <c r="S8" s="50">
        <v>1.0912791076903008</v>
      </c>
      <c r="T8" s="50">
        <f>'[7]Мурманская область'!$L$176+'[7]Мурманская область'!$L$183+7</f>
        <v>271470</v>
      </c>
      <c r="U8" s="50">
        <v>1.0812742074307846</v>
      </c>
      <c r="V8" s="50">
        <f>'[7]Мурманская область'!$L$193+'[7]Мурманская область'!$L$200+5</f>
        <v>334364</v>
      </c>
      <c r="W8" s="47">
        <f>'2021'!C8/'2020'!V8</f>
        <v>1.0102044478472563</v>
      </c>
    </row>
    <row r="9" spans="1:23" ht="22.5" customHeight="1" x14ac:dyDescent="0.25">
      <c r="A9" s="124"/>
      <c r="B9" s="125" t="s">
        <v>24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7"/>
    </row>
    <row r="10" spans="1:23" ht="22.5" customHeight="1" x14ac:dyDescent="0.25">
      <c r="A10" s="124"/>
      <c r="B10" s="51"/>
      <c r="C10" s="52">
        <f>SUM('[7]Мурманская область'!$L$7:$L$9,'[7]Мурманская область'!$L$14:$L$15)+36011</f>
        <v>305404</v>
      </c>
      <c r="D10" s="52">
        <f>SUM('[7]Мурманская область'!$L$24:$L$26,'[7]Мурманская область'!$L$31:$L$32)+25737</f>
        <v>1408805</v>
      </c>
      <c r="E10" s="52">
        <f>SUM('[7]Мурманская область'!$L$41:$L$43,'[7]Мурманская область'!$L$48:$L$49)+28288</f>
        <v>697459</v>
      </c>
      <c r="F10" s="52">
        <f>SUM('[7]Мурманская область'!$L$58:$L$60,'[7]Мурманская область'!$L$65:$L$66)+24256</f>
        <v>651359</v>
      </c>
      <c r="G10" s="52">
        <v>0.81153241196724002</v>
      </c>
      <c r="H10" s="52">
        <f>SUM('[7]Мурманская область'!$L$75:$L$77,'[7]Мурманская область'!$L$82:$L$83)+17247</f>
        <v>602623</v>
      </c>
      <c r="I10" s="52">
        <v>1.1051728901669038</v>
      </c>
      <c r="J10" s="52">
        <f>SUM('[7]Мурманская область'!$L$92:$L$94,'[7]Мурманская область'!$L$99:$L$100)+20529</f>
        <v>452674</v>
      </c>
      <c r="K10" s="52">
        <v>0.93623435859353732</v>
      </c>
      <c r="L10" s="52">
        <f>SUM('[7]Мурманская область'!$L$109:$L$111,'[7]Мурманская область'!$L$116:$L$117)+15709</f>
        <v>428555</v>
      </c>
      <c r="M10" s="52">
        <v>0.98862449560882981</v>
      </c>
      <c r="N10" s="52">
        <f>SUM('[7]Мурманская область'!$L$126:$L$128,'[7]Мурманская область'!$L$133:$L$134)+13205</f>
        <v>418609</v>
      </c>
      <c r="O10" s="52">
        <v>1.1396973643931982</v>
      </c>
      <c r="P10" s="52">
        <f>SUM('[7]Мурманская область'!$L$143:$L$145,'[7]Мурманская область'!$L$150:$L$151)+17235</f>
        <v>621237</v>
      </c>
      <c r="Q10" s="52">
        <v>0.92771987479613993</v>
      </c>
      <c r="R10" s="50">
        <f>687692+18012</f>
        <v>705704</v>
      </c>
      <c r="S10" s="52">
        <v>1.3811050263218647</v>
      </c>
      <c r="T10" s="52">
        <f>SUM('[7]Мурманская область'!$L$177:$L$179,'[7]Мурманская область'!$L$184:$L$185)+20755</f>
        <v>681241</v>
      </c>
      <c r="U10" s="52">
        <v>1.1165969725534901</v>
      </c>
      <c r="V10" s="52">
        <f>SUM('[7]Мурманская область'!$L$194:$L$196,'[7]Мурманская область'!$L$201:$L$202)+24276</f>
        <v>774729</v>
      </c>
      <c r="W10" s="47">
        <f>'2021'!C10/'2020'!V10</f>
        <v>1.3596831924453583</v>
      </c>
    </row>
    <row r="11" spans="1:23" ht="22.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</row>
    <row r="12" spans="1:23" ht="22.5" customHeight="1" x14ac:dyDescent="0.25">
      <c r="A12" s="123" t="s">
        <v>25</v>
      </c>
      <c r="B12" s="131" t="s">
        <v>23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</row>
    <row r="13" spans="1:23" ht="22.5" customHeight="1" x14ac:dyDescent="0.25">
      <c r="A13" s="124"/>
      <c r="B13" s="53" t="s">
        <v>16</v>
      </c>
      <c r="C13" s="50">
        <f>'[7]Мурманская область'!$L$17</f>
        <v>90937</v>
      </c>
      <c r="D13" s="50">
        <v>71701</v>
      </c>
      <c r="E13" s="50">
        <v>73794</v>
      </c>
      <c r="F13" s="50">
        <v>64605</v>
      </c>
      <c r="G13" s="50">
        <v>0.88103762461142676</v>
      </c>
      <c r="H13" s="50">
        <f>'[7]Мурманская область'!$L$85</f>
        <v>49004</v>
      </c>
      <c r="I13" s="50">
        <v>1.4692914152228926</v>
      </c>
      <c r="J13" s="50">
        <v>48877</v>
      </c>
      <c r="K13" s="50">
        <v>0.95559935079990721</v>
      </c>
      <c r="L13" s="50">
        <v>49730</v>
      </c>
      <c r="M13" s="50">
        <v>1.0861336891908286</v>
      </c>
      <c r="N13" s="50">
        <v>49541</v>
      </c>
      <c r="O13" s="50">
        <v>1.0573949673692777</v>
      </c>
      <c r="P13" s="50">
        <v>47563</v>
      </c>
      <c r="Q13" s="50">
        <v>0.87072191706404301</v>
      </c>
      <c r="R13" s="50">
        <v>70851</v>
      </c>
      <c r="S13" s="50">
        <v>1.3949671582814855</v>
      </c>
      <c r="T13" s="50">
        <v>45139</v>
      </c>
      <c r="U13" s="50">
        <v>0.99156427426668825</v>
      </c>
      <c r="V13" s="50">
        <v>54614</v>
      </c>
      <c r="W13" s="47">
        <f>'2021'!C13/'2020'!V13</f>
        <v>1.1227707181308821</v>
      </c>
    </row>
    <row r="14" spans="1:23" ht="22.5" customHeight="1" x14ac:dyDescent="0.25">
      <c r="A14" s="124"/>
      <c r="B14" s="53" t="s">
        <v>17</v>
      </c>
      <c r="C14" s="50">
        <f>'[7]Мурманская область'!$L$18</f>
        <v>80000</v>
      </c>
      <c r="D14" s="50">
        <v>82186</v>
      </c>
      <c r="E14" s="50">
        <v>70376</v>
      </c>
      <c r="F14" s="50">
        <v>69881</v>
      </c>
      <c r="G14" s="50">
        <v>0.89625360230547546</v>
      </c>
      <c r="H14" s="50">
        <f>'[7]Мурманская область'!$L$86</f>
        <v>47896</v>
      </c>
      <c r="I14" s="50">
        <v>1.142181320915105</v>
      </c>
      <c r="J14" s="50">
        <v>41783</v>
      </c>
      <c r="K14" s="50">
        <v>1.0199650530675641</v>
      </c>
      <c r="L14" s="50">
        <v>39005</v>
      </c>
      <c r="M14" s="50">
        <v>1.225912883474509</v>
      </c>
      <c r="N14" s="50">
        <v>36338</v>
      </c>
      <c r="O14" s="50">
        <v>0.82032503493607989</v>
      </c>
      <c r="P14" s="50">
        <v>49406</v>
      </c>
      <c r="Q14" s="50">
        <v>0.9943846809047604</v>
      </c>
      <c r="R14" s="50">
        <v>44644</v>
      </c>
      <c r="S14" s="50">
        <v>0.90197011516132097</v>
      </c>
      <c r="T14" s="50">
        <v>55560</v>
      </c>
      <c r="U14" s="50">
        <v>2.4625584749041538</v>
      </c>
      <c r="V14" s="50">
        <v>69751</v>
      </c>
      <c r="W14" s="47">
        <f>'2021'!C14/'2020'!V14</f>
        <v>1.1388367191868216</v>
      </c>
    </row>
    <row r="15" spans="1:23" ht="22.5" customHeight="1" x14ac:dyDescent="0.25">
      <c r="A15" s="124"/>
      <c r="B15" s="125" t="s">
        <v>24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7"/>
    </row>
    <row r="16" spans="1:23" ht="22.5" customHeight="1" x14ac:dyDescent="0.25">
      <c r="A16" s="124"/>
      <c r="B16" s="51"/>
      <c r="C16" s="52">
        <v>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3" ht="22.5" customHeight="1" x14ac:dyDescent="0.25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61"/>
      <c r="P17" s="56"/>
      <c r="Q17" s="62"/>
      <c r="R17" s="56"/>
      <c r="S17" s="63"/>
      <c r="T17" s="56"/>
      <c r="U17" s="64"/>
      <c r="V17" s="56"/>
    </row>
    <row r="18" spans="1:23" ht="22.5" customHeight="1" x14ac:dyDescent="0.25">
      <c r="A18" s="121" t="s">
        <v>18</v>
      </c>
      <c r="B18" s="122"/>
      <c r="C18" s="57">
        <f>C5+C6+C7+C8+C10+C13+C14+C16</f>
        <v>30644987</v>
      </c>
      <c r="D18" s="57">
        <f t="shared" ref="D18:V18" si="0">D5+D6+D7+D8+D10+D13+D14+D16</f>
        <v>26592644</v>
      </c>
      <c r="E18" s="57">
        <f t="shared" si="0"/>
        <v>28748951</v>
      </c>
      <c r="F18" s="57">
        <f t="shared" si="0"/>
        <v>25341194</v>
      </c>
      <c r="G18" s="57"/>
      <c r="H18" s="57">
        <f t="shared" si="0"/>
        <v>24049311</v>
      </c>
      <c r="I18" s="57"/>
      <c r="J18" s="57">
        <f t="shared" si="0"/>
        <v>15843148</v>
      </c>
      <c r="K18" s="57"/>
      <c r="L18" s="57">
        <f t="shared" si="0"/>
        <v>19937857</v>
      </c>
      <c r="M18" s="57"/>
      <c r="N18" s="57">
        <f>N5+N6+N7+N8+N10+N13+N14+N16</f>
        <v>21813286</v>
      </c>
      <c r="O18" s="57"/>
      <c r="P18" s="57">
        <f t="shared" si="0"/>
        <v>21908275</v>
      </c>
      <c r="Q18" s="57"/>
      <c r="R18" s="57">
        <f t="shared" si="0"/>
        <v>26241958</v>
      </c>
      <c r="S18" s="57"/>
      <c r="T18" s="57">
        <f t="shared" si="0"/>
        <v>26642625</v>
      </c>
      <c r="U18" s="57"/>
      <c r="V18" s="57">
        <f t="shared" si="0"/>
        <v>29375173</v>
      </c>
      <c r="W18" s="46"/>
    </row>
    <row r="20" spans="1:23" x14ac:dyDescent="0.25">
      <c r="T20" s="43"/>
      <c r="U20" s="43"/>
    </row>
    <row r="21" spans="1:23" x14ac:dyDescent="0.25">
      <c r="T21" s="41"/>
      <c r="U21" s="41"/>
    </row>
    <row r="23" spans="1:23" x14ac:dyDescent="0.25">
      <c r="R23" s="41"/>
      <c r="S23" s="41"/>
    </row>
    <row r="28" spans="1:23" x14ac:dyDescent="0.25">
      <c r="E28" s="41"/>
      <c r="F28" s="41"/>
      <c r="G28" s="41"/>
    </row>
  </sheetData>
  <mergeCells count="9">
    <mergeCell ref="A18:B18"/>
    <mergeCell ref="A2:V2"/>
    <mergeCell ref="A4:A10"/>
    <mergeCell ref="B4:V4"/>
    <mergeCell ref="B9:V9"/>
    <mergeCell ref="A11:V11"/>
    <mergeCell ref="A12:A16"/>
    <mergeCell ref="B12:V12"/>
    <mergeCell ref="B15:V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8"/>
  <sheetViews>
    <sheetView zoomScale="70" zoomScaleNormal="70" workbookViewId="0">
      <selection activeCell="AH13" sqref="AH13:AH14"/>
    </sheetView>
  </sheetViews>
  <sheetFormatPr defaultColWidth="9.140625" defaultRowHeight="15" x14ac:dyDescent="0.25"/>
  <cols>
    <col min="1" max="1" width="18.42578125" style="29" customWidth="1"/>
    <col min="2" max="2" width="18.140625" style="29" customWidth="1"/>
    <col min="3" max="3" width="19.28515625" style="29" customWidth="1"/>
    <col min="4" max="4" width="19.28515625" style="29" hidden="1" customWidth="1"/>
    <col min="5" max="5" width="19.28515625" style="29" customWidth="1"/>
    <col min="6" max="6" width="19.28515625" style="29" hidden="1" customWidth="1"/>
    <col min="7" max="7" width="19.28515625" style="29" customWidth="1"/>
    <col min="8" max="8" width="19.28515625" style="29" hidden="1" customWidth="1"/>
    <col min="9" max="9" width="19.28515625" style="29" customWidth="1"/>
    <col min="10" max="11" width="19.28515625" style="29" hidden="1" customWidth="1"/>
    <col min="12" max="12" width="19.28515625" style="29" customWidth="1"/>
    <col min="13" max="14" width="19.28515625" style="29" hidden="1" customWidth="1"/>
    <col min="15" max="15" width="19.28515625" style="29" customWidth="1"/>
    <col min="16" max="17" width="19.28515625" style="29" hidden="1" customWidth="1"/>
    <col min="18" max="18" width="19.28515625" style="29" customWidth="1"/>
    <col min="19" max="20" width="19.28515625" style="29" hidden="1" customWidth="1"/>
    <col min="21" max="21" width="19.28515625" style="29" customWidth="1"/>
    <col min="22" max="23" width="19.28515625" style="29" hidden="1" customWidth="1"/>
    <col min="24" max="24" width="19.28515625" style="29" customWidth="1"/>
    <col min="25" max="26" width="19.28515625" style="29" hidden="1" customWidth="1"/>
    <col min="27" max="27" width="19.28515625" style="29" customWidth="1"/>
    <col min="28" max="29" width="19.28515625" style="29" hidden="1" customWidth="1"/>
    <col min="30" max="30" width="19.28515625" style="29" customWidth="1"/>
    <col min="31" max="32" width="19.28515625" style="29" hidden="1" customWidth="1"/>
    <col min="33" max="33" width="19.28515625" style="29" customWidth="1"/>
    <col min="34" max="34" width="11.140625" style="47" bestFit="1" customWidth="1"/>
    <col min="35" max="16384" width="9.140625" style="29"/>
  </cols>
  <sheetData>
    <row r="2" spans="1:34" ht="42.75" customHeight="1" x14ac:dyDescent="0.25">
      <c r="A2" s="109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4" s="33" customFormat="1" ht="33" customHeight="1" x14ac:dyDescent="0.25">
      <c r="A3" s="30" t="s">
        <v>0</v>
      </c>
      <c r="B3" s="31" t="s">
        <v>1</v>
      </c>
      <c r="C3" s="32" t="s">
        <v>2</v>
      </c>
      <c r="D3" s="32"/>
      <c r="E3" s="32" t="s">
        <v>3</v>
      </c>
      <c r="F3" s="32"/>
      <c r="G3" s="32" t="s">
        <v>4</v>
      </c>
      <c r="H3" s="32"/>
      <c r="I3" s="32" t="s">
        <v>5</v>
      </c>
      <c r="J3" s="32"/>
      <c r="K3" s="32"/>
      <c r="L3" s="32" t="s">
        <v>6</v>
      </c>
      <c r="M3" s="32"/>
      <c r="N3" s="32"/>
      <c r="O3" s="32" t="s">
        <v>7</v>
      </c>
      <c r="P3" s="32"/>
      <c r="Q3" s="32"/>
      <c r="R3" s="32" t="s">
        <v>8</v>
      </c>
      <c r="S3" s="32"/>
      <c r="T3" s="32"/>
      <c r="U3" s="32" t="s">
        <v>9</v>
      </c>
      <c r="V3" s="32"/>
      <c r="W3" s="32"/>
      <c r="X3" s="32" t="s">
        <v>10</v>
      </c>
      <c r="Y3" s="32"/>
      <c r="Z3" s="32"/>
      <c r="AA3" s="32" t="s">
        <v>11</v>
      </c>
      <c r="AB3" s="32"/>
      <c r="AC3" s="32"/>
      <c r="AD3" s="32" t="s">
        <v>12</v>
      </c>
      <c r="AE3" s="32"/>
      <c r="AF3" s="32"/>
      <c r="AG3" s="32" t="s">
        <v>13</v>
      </c>
      <c r="AH3" s="48"/>
    </row>
    <row r="4" spans="1:34" ht="22.5" customHeight="1" x14ac:dyDescent="0.25">
      <c r="A4" s="123" t="s">
        <v>34</v>
      </c>
      <c r="B4" s="125" t="s">
        <v>23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7"/>
    </row>
    <row r="5" spans="1:34" ht="22.5" customHeight="1" x14ac:dyDescent="0.25">
      <c r="A5" s="124"/>
      <c r="B5" s="49" t="s">
        <v>14</v>
      </c>
      <c r="C5" s="50">
        <f>'[8]Мурманская область'!$L$3+'[8]Мурманская область'!$L$10+'[8]Мурманская область'!$L$17</f>
        <v>25324774</v>
      </c>
      <c r="D5" s="50">
        <v>0.83364848723223661</v>
      </c>
      <c r="E5" s="50">
        <f>'[8]Мурманская область'!$L$23+'[8]Мурманская область'!$L$30+'[8]Мурманская область'!$L$37</f>
        <v>24572537</v>
      </c>
      <c r="F5" s="50">
        <v>1.1200233062321652</v>
      </c>
      <c r="G5" s="50">
        <f>'[8]Мурманская область'!$L$43+'[8]Мурманская область'!$L$50+'[8]Мурманская область'!$L$57</f>
        <v>25838374</v>
      </c>
      <c r="H5" s="50">
        <v>0.88359236424672227</v>
      </c>
      <c r="I5" s="50">
        <f>'[8]Мурманская область'!$L$63+'[8]Мурманская область'!$L$70+'[8]Мурманская область'!$L$77</f>
        <v>24016619</v>
      </c>
      <c r="J5" s="50"/>
      <c r="K5" s="50">
        <v>0.96671831806714403</v>
      </c>
      <c r="L5" s="50">
        <f>'[8]Мурманская область'!$L$83+'[8]Мурманская область'!$L$90+'[8]Мурманская область'!$L$97</f>
        <v>21587624</v>
      </c>
      <c r="M5" s="50"/>
      <c r="N5" s="50">
        <v>0.65224191142549204</v>
      </c>
      <c r="O5" s="50">
        <f>'[8]Мурманская область'!$L$103+'[8]Мурманская область'!$L$110+'[8]Мурманская область'!$L$117</f>
        <v>20460867</v>
      </c>
      <c r="P5" s="50"/>
      <c r="Q5" s="50">
        <v>1.298106302188512</v>
      </c>
      <c r="R5" s="50">
        <f>'[8]Мурманская область'!$L$123+'[8]Мурманская область'!$L$130+'[8]Мурманская область'!$L$137</f>
        <v>20564957</v>
      </c>
      <c r="S5" s="50"/>
      <c r="T5" s="50">
        <v>1.0898058576102734</v>
      </c>
      <c r="U5" s="50">
        <f>'[8]Мурманская область'!$L$143+'[8]Мурманская область'!$L$150+'[8]Мурманская область'!$L$157</f>
        <v>21865868</v>
      </c>
      <c r="V5" s="50"/>
      <c r="W5" s="50">
        <v>0.97670526532577417</v>
      </c>
      <c r="X5" s="50">
        <f>'[8]Мурманская область'!$L$163+'[8]Мурманская область'!$L$170+'[8]Мурманская область'!$L$177</f>
        <v>19499886</v>
      </c>
      <c r="Y5" s="50"/>
      <c r="Z5" s="50">
        <v>1.1970239169037922</v>
      </c>
      <c r="AA5" s="50">
        <f>'[8]Мурманская область'!$L$183+'[8]Мурманская область'!$L$190+'[8]Мурманская область'!$L$197</f>
        <v>20617385</v>
      </c>
      <c r="AB5" s="50"/>
      <c r="AC5" s="50">
        <v>1.0102475680394618</v>
      </c>
      <c r="AD5" s="50">
        <f>'[9]Мурманская область'!$L$203+'[9]Мурманская область'!$L$210+'[9]Мурманская область'!$L$217</f>
        <v>22550765</v>
      </c>
      <c r="AE5" s="50"/>
      <c r="AF5" s="50">
        <v>1.0935698849707627</v>
      </c>
      <c r="AG5" s="50">
        <f>'[9]Мурманская область'!$L$223+'[9]Мурманская область'!$L$230+'[9]Мурманская область'!$L$237</f>
        <v>24372558</v>
      </c>
      <c r="AH5" s="47">
        <f>'2022'!D5/'2021'!AG5</f>
        <v>1.0312001309013195</v>
      </c>
    </row>
    <row r="6" spans="1:34" ht="22.5" customHeight="1" x14ac:dyDescent="0.25">
      <c r="A6" s="124"/>
      <c r="B6" s="49" t="s">
        <v>15</v>
      </c>
      <c r="C6" s="50">
        <f>'[8]Мурманская область'!$L$4+'[8]Мурманская область'!$L$11+'[8]Мурманская область'!$L$16</f>
        <v>814530</v>
      </c>
      <c r="D6" s="50">
        <v>0.50534584102050994</v>
      </c>
      <c r="E6" s="50">
        <f>'[8]Мурманская область'!$L$24+'[8]Мурманская область'!$L$31+'[8]Мурманская область'!$L$36</f>
        <v>738851</v>
      </c>
      <c r="F6" s="50">
        <v>1.408852741065145</v>
      </c>
      <c r="G6" s="50">
        <f>'[8]Мурманская область'!$L$44+'[8]Мурманская область'!$L$51+'[8]Мурманская область'!$L$56</f>
        <v>684797</v>
      </c>
      <c r="H6" s="50">
        <v>0.77804810354514864</v>
      </c>
      <c r="I6" s="50">
        <f>'[8]Мурманская область'!$L$64+'[8]Мурманская область'!$L$71+'[8]Мурманская область'!$L$76</f>
        <v>407568.99999999994</v>
      </c>
      <c r="J6" s="50"/>
      <c r="K6" s="50">
        <v>0.6373151573576854</v>
      </c>
      <c r="L6" s="50">
        <f>'[8]Мурманская область'!$L$84+'[8]Мурманская область'!$L$91+'[8]Мурманская область'!$L$96</f>
        <v>343134</v>
      </c>
      <c r="M6" s="50"/>
      <c r="N6" s="50">
        <v>0.75605254320124737</v>
      </c>
      <c r="O6" s="50">
        <f>'[8]Мурманская область'!$L$104+'[8]Мурманская область'!$L$111+'[8]Мурманская область'!$L$116</f>
        <v>219674</v>
      </c>
      <c r="P6" s="50"/>
      <c r="Q6" s="50">
        <v>0.82989111789241798</v>
      </c>
      <c r="R6" s="50">
        <f>'[8]Мурманская область'!$L$124+'[8]Мурманская область'!$L$131+'[8]Мурманская область'!$L$136</f>
        <v>273048.00000000006</v>
      </c>
      <c r="S6" s="50"/>
      <c r="T6" s="50">
        <v>1.266404410772799</v>
      </c>
      <c r="U6" s="50">
        <f>'[8]Мурманская область'!$L$144+'[8]Мурманская область'!$L$151+'[8]Мурманская область'!$L$156</f>
        <v>350475.99999999994</v>
      </c>
      <c r="V6" s="50"/>
      <c r="W6" s="50">
        <v>1.4469539998831698</v>
      </c>
      <c r="X6" s="50">
        <f>'[8]Мурманская область'!$L$164+'[8]Мурманская область'!$L$171+'[8]Мурманская область'!$L$176</f>
        <v>489085</v>
      </c>
      <c r="Y6" s="50"/>
      <c r="Z6" s="50">
        <v>1.323419474036676</v>
      </c>
      <c r="AA6" s="50">
        <f>'[8]Мурманская область'!$L$184+'[8]Мурманская область'!$L$191+'[8]Мурманская область'!$L$196</f>
        <v>580114</v>
      </c>
      <c r="AB6" s="50"/>
      <c r="AC6" s="50">
        <v>1.0890443651710797</v>
      </c>
      <c r="AD6" s="50">
        <f>'[9]Мурманская область'!$L$204+'[9]Мурманская область'!$L$211+'[9]Мурманская область'!$L$216</f>
        <v>759340</v>
      </c>
      <c r="AE6" s="50"/>
      <c r="AF6" s="50">
        <v>1.2587068529445202</v>
      </c>
      <c r="AG6" s="50">
        <f>'[9]Мурманская область'!$L$224+'[9]Мурманская область'!$L$231+'[9]Мурманская область'!$L$236</f>
        <v>797778</v>
      </c>
      <c r="AH6" s="47">
        <f>'2022'!D6/'2021'!AG6</f>
        <v>0.87800240167064025</v>
      </c>
    </row>
    <row r="7" spans="1:34" ht="22.5" customHeight="1" x14ac:dyDescent="0.25">
      <c r="A7" s="124"/>
      <c r="B7" s="49" t="s">
        <v>16</v>
      </c>
      <c r="C7" s="50">
        <f>'[8]Мурманская область'!$L$5+'[8]Мурманская область'!$L$12+'[8]Мурманская область'!$L$18</f>
        <v>1368455</v>
      </c>
      <c r="D7" s="50">
        <v>0.97961979679328415</v>
      </c>
      <c r="E7" s="50">
        <f>'[8]Мурманская область'!$L$25+'[8]Мурманская область'!$L$32+'[8]Мурманская область'!$L$38</f>
        <v>1290508</v>
      </c>
      <c r="F7" s="50">
        <v>0.95060803431098329</v>
      </c>
      <c r="G7" s="50">
        <f>'[8]Мурманская область'!$L$45+'[8]Мурманская область'!$L$52+'[8]Мурманская область'!$L$58</f>
        <v>1271911</v>
      </c>
      <c r="H7" s="50">
        <v>0.86230773542011852</v>
      </c>
      <c r="I7" s="50">
        <f>'[8]Мурманская область'!$L$65+'[8]Мурманская область'!$L$72+'[8]Мурманская область'!$L$78</f>
        <v>1042224</v>
      </c>
      <c r="J7" s="50"/>
      <c r="K7" s="50">
        <v>0.82316542481184296</v>
      </c>
      <c r="L7" s="50">
        <f>'[8]Мурманская область'!$L$85+'[8]Мурманская область'!$L$92+'[8]Мурманская область'!$L$98</f>
        <v>942444</v>
      </c>
      <c r="M7" s="50"/>
      <c r="N7" s="50">
        <v>0.67089421225157519</v>
      </c>
      <c r="O7" s="50">
        <f>'[8]Мурманская область'!$L$105+'[8]Мурманская область'!$L$112+'[8]Мурманская область'!$L$118</f>
        <v>575978</v>
      </c>
      <c r="P7" s="50"/>
      <c r="Q7" s="50">
        <v>0.80189151118613899</v>
      </c>
      <c r="R7" s="50">
        <f>'[8]Мурманская область'!$L$125+'[8]Мурманская область'!$L$132+'[8]Мурманская область'!$L$138</f>
        <v>540625</v>
      </c>
      <c r="S7" s="50"/>
      <c r="T7" s="50">
        <v>1.3907151882623541</v>
      </c>
      <c r="U7" s="50">
        <f>'[8]Мурманская область'!$L$145+'[8]Мурманская область'!$L$152+'[8]Мурманская область'!$L$158</f>
        <v>677947</v>
      </c>
      <c r="V7" s="50"/>
      <c r="W7" s="50">
        <v>1.2291056897162975</v>
      </c>
      <c r="X7" s="50">
        <f>'[8]Мурманская область'!$L$165+'[8]Мурманская область'!$L$172+'[8]Мурманская область'!$L$178</f>
        <v>909920</v>
      </c>
      <c r="Y7" s="50"/>
      <c r="Z7" s="50">
        <v>1.2336819227647458</v>
      </c>
      <c r="AA7" s="50">
        <f>'[8]Мурманская область'!$L$185+'[8]Мурманская область'!$L$192+'[8]Мурманская область'!$L$198</f>
        <v>951128</v>
      </c>
      <c r="AB7" s="50"/>
      <c r="AC7" s="50">
        <v>1.1356495658831103</v>
      </c>
      <c r="AD7" s="50">
        <f>'[9]Мурманская область'!$L$205+'[9]Мурманская область'!$L$212+'[9]Мурманская область'!$L$218</f>
        <v>1229091</v>
      </c>
      <c r="AE7" s="50"/>
      <c r="AF7" s="50">
        <v>1.1490107793972462</v>
      </c>
      <c r="AG7" s="50">
        <f>'[9]Мурманская область'!$L$225+'[9]Мурманская область'!$L$232+'[9]Мурманская область'!$L$238</f>
        <v>1394816</v>
      </c>
      <c r="AH7" s="47">
        <f>'2022'!D7/'2021'!AG7</f>
        <v>1.1032573472056528</v>
      </c>
    </row>
    <row r="8" spans="1:34" ht="22.5" customHeight="1" x14ac:dyDescent="0.25">
      <c r="A8" s="124"/>
      <c r="B8" s="49" t="s">
        <v>17</v>
      </c>
      <c r="C8" s="50">
        <f>'[8]Мурманская область'!$L$6+'[8]Мурманская область'!$L$13+'[8]Мурманская область'!$L$19+3</f>
        <v>337776</v>
      </c>
      <c r="D8" s="50">
        <v>0.94736712322011285</v>
      </c>
      <c r="E8" s="50">
        <f>'[8]Мурманская область'!$L$26+'[8]Мурманская область'!$L$33+'[8]Мурманская область'!$L$39+3</f>
        <v>374908</v>
      </c>
      <c r="F8" s="50">
        <v>0.90392195990988256</v>
      </c>
      <c r="G8" s="50">
        <f>'[8]Мурманская область'!$L$46+'[8]Мурманская область'!$L$53+'[8]Мурманская область'!$L$59+4</f>
        <v>335334</v>
      </c>
      <c r="H8" s="50">
        <v>0.88011838105903051</v>
      </c>
      <c r="I8" s="50">
        <f>'[8]Мурманская область'!$L$66+'[8]Мурманская область'!$L$73+'[8]Мурманская область'!$L$79</f>
        <v>296224</v>
      </c>
      <c r="J8" s="50"/>
      <c r="K8" s="50">
        <v>0.75709700051984685</v>
      </c>
      <c r="L8" s="50">
        <f>'[8]Мурманская область'!$L$86+'[8]Мурманская область'!$L$93+'[8]Мурманская область'!$L$99+3</f>
        <v>266487</v>
      </c>
      <c r="M8" s="50"/>
      <c r="N8" s="50">
        <v>0.73369729620719959</v>
      </c>
      <c r="O8" s="50">
        <f>('[8]Мурманская область'!$L$106+'[8]Мурманская область'!$L$113+'[8]Мурманская область'!$L$119)+2</f>
        <v>162613</v>
      </c>
      <c r="P8" s="50"/>
      <c r="Q8" s="50">
        <v>1.0315768118218347</v>
      </c>
      <c r="R8" s="50">
        <f>'[8]Мурманская область'!$L$126+'[8]Мурманская область'!$L$133+'[8]Мурманская область'!$L$139+3</f>
        <v>172124</v>
      </c>
      <c r="S8" s="50"/>
      <c r="T8" s="50">
        <v>0.91439918288110544</v>
      </c>
      <c r="U8" s="50">
        <f>'[8]Мурманская область'!$L$146+'[8]Мурманская область'!$L$153+'[8]Мурманская область'!$L$159+3</f>
        <v>172954</v>
      </c>
      <c r="V8" s="50"/>
      <c r="W8" s="50">
        <v>1.5854066354919727</v>
      </c>
      <c r="X8" s="50">
        <f>'[8]Мурманская область'!$L$166+'[8]Мурманская область'!$L$173+'[8]Мурманская область'!$L$179+3</f>
        <v>218460</v>
      </c>
      <c r="Y8" s="50"/>
      <c r="Z8" s="50">
        <v>1.0884552603594575</v>
      </c>
      <c r="AA8" s="50">
        <f>'[8]Мурманская область'!$L$186+'[8]Мурманская область'!$L$193+'[8]Мурманская область'!$L$199+3</f>
        <v>262136</v>
      </c>
      <c r="AB8" s="50"/>
      <c r="AC8" s="50">
        <v>1.0914507647030443</v>
      </c>
      <c r="AD8" s="50">
        <f>'[9]Мурманская область'!$L$206+'[9]Мурманская область'!$L$213+'[9]Мурманская область'!$L$219+7</f>
        <v>370480</v>
      </c>
      <c r="AE8" s="50"/>
      <c r="AF8" s="50">
        <v>1.2316793752532509</v>
      </c>
      <c r="AG8" s="50">
        <f>'[9]Мурманская область'!$L$226+'[9]Мурманская область'!$L$233+'[9]Мурманская область'!$L$239+2</f>
        <v>370767</v>
      </c>
      <c r="AH8" s="47">
        <f>'2022'!D8/'2021'!AG8</f>
        <v>1.212079284294449</v>
      </c>
    </row>
    <row r="9" spans="1:34" ht="22.5" customHeight="1" x14ac:dyDescent="0.25">
      <c r="A9" s="124"/>
      <c r="B9" s="125" t="s">
        <v>24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7"/>
    </row>
    <row r="10" spans="1:34" ht="22.5" customHeight="1" x14ac:dyDescent="0.25">
      <c r="A10" s="124"/>
      <c r="B10" s="51"/>
      <c r="C10" s="52">
        <f>SUM('[8]Мурманская область'!$L$7:$L$9,'[8]Мурманская область'!$L$14:$L$15)+31195</f>
        <v>1053386</v>
      </c>
      <c r="D10" s="52">
        <v>4.6129225550418465</v>
      </c>
      <c r="E10" s="52">
        <f>SUM('[8]Мурманская область'!$L$27:$L$29,'[8]Мурманская область'!$L$34:$L$35)+30413</f>
        <v>1055319</v>
      </c>
      <c r="F10" s="52">
        <v>0.49507135480069986</v>
      </c>
      <c r="G10" s="52">
        <f>SUM('[8]Мурманская область'!$L$47:$L$49,'[8]Мурманская область'!$L$54:$L$55)+28305</f>
        <v>593178</v>
      </c>
      <c r="H10" s="52">
        <v>0.93390292475973502</v>
      </c>
      <c r="I10" s="52">
        <f>SUM('[8]Мурманская область'!$L$67:$L$69,'[8]Мурманская область'!$L$74:$L$75)+18036</f>
        <v>708158</v>
      </c>
      <c r="J10" s="52"/>
      <c r="K10" s="52">
        <v>0.92517797405117608</v>
      </c>
      <c r="L10" s="52">
        <f>SUM('[8]Мурманская область'!$L$87:$L$89,'[8]Мурманская область'!$L$94:$L$95)+16037</f>
        <v>700118</v>
      </c>
      <c r="M10" s="52"/>
      <c r="N10" s="52">
        <v>0.75117278962137191</v>
      </c>
      <c r="O10" s="52">
        <f>(SUM('[8]Мурманская область'!$L$107:$L$109,'[8]Мурманская область'!$L$114:$L$115))+12469</f>
        <v>608949</v>
      </c>
      <c r="P10" s="52"/>
      <c r="Q10" s="52">
        <v>0.94671883077004648</v>
      </c>
      <c r="R10" s="52">
        <f>SUM('[8]Мурманская область'!$L$127:$L$129,'[8]Мурманская область'!$L$134:$L$135)+13242</f>
        <v>425025</v>
      </c>
      <c r="S10" s="52"/>
      <c r="T10" s="52">
        <v>0.97679177701811903</v>
      </c>
      <c r="U10" s="52">
        <f>SUM('[8]Мурманская область'!$L$147:$L$149,'[8]Мурманская область'!$L$154:$L$155)+13400</f>
        <v>501695</v>
      </c>
      <c r="V10" s="52"/>
      <c r="W10" s="52">
        <v>1.4840507490283295</v>
      </c>
      <c r="X10" s="52">
        <f>SUM('[8]Мурманская область'!$L$167:$L$169,'[8]Мурманская область'!$L$174:$L$175)+16927</f>
        <v>666616</v>
      </c>
      <c r="Y10" s="52"/>
      <c r="Z10" s="52">
        <v>1.1359658230272827</v>
      </c>
      <c r="AA10" s="50">
        <f>SUM('[8]Мурманская область'!$L$187:$L$189,'[8]Мурманская область'!$L$194:$L$195)+17588</f>
        <v>649058</v>
      </c>
      <c r="AB10" s="52"/>
      <c r="AC10" s="52">
        <v>0.96533532472538064</v>
      </c>
      <c r="AD10" s="52">
        <f>SUM('[9]Мурманская область'!$L$207:$L$209,'[9]Мурманская область'!$L$214:$L$215)+22402</f>
        <v>700106</v>
      </c>
      <c r="AE10" s="52"/>
      <c r="AF10" s="52">
        <v>1.1372319047150714</v>
      </c>
      <c r="AG10" s="52">
        <f>SUM('[9]Мурманская область'!$L$227:$L$229,'[9]Мурманская область'!$L$234:$L$235)+24127</f>
        <v>872906</v>
      </c>
      <c r="AH10" s="47">
        <f>'2022'!D10/'2021'!AG10</f>
        <v>1.3173056434484354</v>
      </c>
    </row>
    <row r="11" spans="1:34" ht="22.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30"/>
    </row>
    <row r="12" spans="1:34" ht="22.5" customHeight="1" x14ac:dyDescent="0.25">
      <c r="A12" s="123" t="s">
        <v>25</v>
      </c>
      <c r="B12" s="131" t="s">
        <v>23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</row>
    <row r="13" spans="1:34" ht="22.5" customHeight="1" x14ac:dyDescent="0.25">
      <c r="A13" s="124"/>
      <c r="B13" s="53" t="s">
        <v>16</v>
      </c>
      <c r="C13" s="50">
        <f>'[8]Мурманская область'!$L$20</f>
        <v>61319</v>
      </c>
      <c r="D13" s="50">
        <v>0.78846894003540913</v>
      </c>
      <c r="E13" s="50">
        <v>57795</v>
      </c>
      <c r="F13" s="50">
        <v>1.0291906667968369</v>
      </c>
      <c r="G13" s="50">
        <v>53660</v>
      </c>
      <c r="H13" s="50">
        <v>0.87547768111228552</v>
      </c>
      <c r="I13" s="50">
        <v>41691</v>
      </c>
      <c r="J13" s="50"/>
      <c r="K13" s="50">
        <v>0.75851714263601888</v>
      </c>
      <c r="L13" s="50">
        <v>34026</v>
      </c>
      <c r="M13" s="50"/>
      <c r="N13" s="50">
        <v>0.99740837482654476</v>
      </c>
      <c r="O13" s="50">
        <v>32454</v>
      </c>
      <c r="P13" s="50"/>
      <c r="Q13" s="50">
        <v>1.0174519712748327</v>
      </c>
      <c r="R13" s="50">
        <v>19788</v>
      </c>
      <c r="S13" s="50"/>
      <c r="T13" s="50">
        <v>0.9961994771767545</v>
      </c>
      <c r="U13" s="50">
        <v>38604</v>
      </c>
      <c r="V13" s="50"/>
      <c r="W13" s="50">
        <v>0.9600734744958721</v>
      </c>
      <c r="X13" s="50">
        <v>41860</v>
      </c>
      <c r="Y13" s="50"/>
      <c r="Z13" s="50">
        <v>1.489624287786725</v>
      </c>
      <c r="AA13" s="50">
        <v>37288</v>
      </c>
      <c r="AB13" s="50"/>
      <c r="AC13" s="50">
        <v>0.63709757095877262</v>
      </c>
      <c r="AD13" s="50">
        <v>47823</v>
      </c>
      <c r="AE13" s="50"/>
      <c r="AF13" s="50">
        <v>1.2099071756131061</v>
      </c>
      <c r="AG13" s="50">
        <v>57537</v>
      </c>
      <c r="AH13" s="47">
        <f>'2022'!D13/'2021'!AG13</f>
        <v>1.1025948520082729</v>
      </c>
    </row>
    <row r="14" spans="1:34" ht="22.5" customHeight="1" x14ac:dyDescent="0.25">
      <c r="A14" s="124"/>
      <c r="B14" s="53" t="s">
        <v>17</v>
      </c>
      <c r="C14" s="50">
        <f>'[8]Мурманская область'!$L$21</f>
        <v>79435</v>
      </c>
      <c r="D14" s="50">
        <v>1.027325</v>
      </c>
      <c r="E14" s="50">
        <v>79389</v>
      </c>
      <c r="F14" s="50">
        <v>0.85630155987637802</v>
      </c>
      <c r="G14" s="50">
        <v>87996</v>
      </c>
      <c r="H14" s="50">
        <v>0.99296635216551099</v>
      </c>
      <c r="I14" s="50">
        <v>78162</v>
      </c>
      <c r="J14" s="50"/>
      <c r="K14" s="50">
        <v>0.68539374078791093</v>
      </c>
      <c r="L14" s="50">
        <v>78565</v>
      </c>
      <c r="M14" s="50"/>
      <c r="N14" s="50">
        <v>0.87236930015032565</v>
      </c>
      <c r="O14" s="50">
        <v>64988</v>
      </c>
      <c r="P14" s="50"/>
      <c r="Q14" s="50">
        <v>0.93351362994519305</v>
      </c>
      <c r="R14" s="50">
        <v>61199</v>
      </c>
      <c r="S14" s="50"/>
      <c r="T14" s="50">
        <v>0.9316241507499039</v>
      </c>
      <c r="U14" s="50">
        <v>63250</v>
      </c>
      <c r="V14" s="50"/>
      <c r="W14" s="50">
        <v>1.3596235345918872</v>
      </c>
      <c r="X14" s="50">
        <v>63623</v>
      </c>
      <c r="Y14" s="50"/>
      <c r="Z14" s="50">
        <v>0.90361494555317168</v>
      </c>
      <c r="AA14" s="50">
        <v>61042</v>
      </c>
      <c r="AB14" s="50"/>
      <c r="AC14" s="50">
        <v>1.2445121404892034</v>
      </c>
      <c r="AD14" s="50">
        <v>72624</v>
      </c>
      <c r="AE14" s="50"/>
      <c r="AF14" s="50">
        <v>1.2554175665946725</v>
      </c>
      <c r="AG14" s="50">
        <v>63416</v>
      </c>
      <c r="AH14" s="47">
        <f>'2022'!D14/'2021'!AG14</f>
        <v>0.88400403683612971</v>
      </c>
    </row>
    <row r="15" spans="1:34" ht="22.5" customHeight="1" x14ac:dyDescent="0.25">
      <c r="A15" s="124"/>
      <c r="B15" s="125" t="s">
        <v>24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7"/>
    </row>
    <row r="16" spans="1:34" ht="22.5" customHeight="1" x14ac:dyDescent="0.25">
      <c r="A16" s="124"/>
      <c r="B16" s="51"/>
      <c r="C16" s="52">
        <v>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</row>
    <row r="17" spans="1:34" ht="22.5" customHeight="1" x14ac:dyDescent="0.25">
      <c r="A17" s="54"/>
      <c r="B17" s="55"/>
      <c r="C17" s="65"/>
      <c r="D17" s="66"/>
      <c r="E17" s="65"/>
      <c r="F17" s="67"/>
      <c r="G17" s="65"/>
      <c r="H17" s="68"/>
      <c r="I17" s="65"/>
      <c r="J17" s="65"/>
      <c r="K17" s="69"/>
      <c r="L17" s="65"/>
      <c r="M17" s="65"/>
      <c r="N17" s="70"/>
      <c r="O17" s="65"/>
      <c r="P17" s="65"/>
      <c r="Q17" s="71"/>
      <c r="R17" s="65"/>
      <c r="S17" s="65"/>
      <c r="T17" s="72"/>
      <c r="U17" s="65"/>
      <c r="V17" s="65"/>
      <c r="W17" s="73"/>
      <c r="X17" s="65"/>
      <c r="Y17" s="65"/>
      <c r="Z17" s="74"/>
      <c r="AA17" s="65"/>
      <c r="AB17" s="65"/>
      <c r="AC17" s="75"/>
      <c r="AD17" s="65"/>
      <c r="AE17" s="65"/>
      <c r="AF17" s="76"/>
      <c r="AG17" s="65"/>
    </row>
    <row r="18" spans="1:34" ht="22.5" customHeight="1" x14ac:dyDescent="0.25">
      <c r="A18" s="121" t="s">
        <v>18</v>
      </c>
      <c r="B18" s="122"/>
      <c r="C18" s="57">
        <f>C5+C6+C7+C8+C10+C13+C14+C16</f>
        <v>29039675</v>
      </c>
      <c r="D18" s="57"/>
      <c r="E18" s="57">
        <f t="shared" ref="E18:AG18" si="0">E5+E6+E7+E8+E10+E13+E14+E16</f>
        <v>28169307</v>
      </c>
      <c r="F18" s="57"/>
      <c r="G18" s="57">
        <f t="shared" si="0"/>
        <v>28865250</v>
      </c>
      <c r="H18" s="57"/>
      <c r="I18" s="57">
        <f t="shared" si="0"/>
        <v>26590647</v>
      </c>
      <c r="J18" s="57"/>
      <c r="K18" s="57"/>
      <c r="L18" s="57">
        <f t="shared" si="0"/>
        <v>23952398</v>
      </c>
      <c r="M18" s="57"/>
      <c r="N18" s="57"/>
      <c r="O18" s="57">
        <f t="shared" si="0"/>
        <v>22125523</v>
      </c>
      <c r="P18" s="57"/>
      <c r="Q18" s="57"/>
      <c r="R18" s="57">
        <f t="shared" si="0"/>
        <v>22056766</v>
      </c>
      <c r="S18" s="57"/>
      <c r="T18" s="57"/>
      <c r="U18" s="57">
        <f>U5+U6+U7+U8+U10+U13+U14+U16</f>
        <v>23670794</v>
      </c>
      <c r="V18" s="57"/>
      <c r="W18" s="57"/>
      <c r="X18" s="57">
        <f t="shared" si="0"/>
        <v>21889450</v>
      </c>
      <c r="Y18" s="57"/>
      <c r="Z18" s="57"/>
      <c r="AA18" s="57">
        <f t="shared" si="0"/>
        <v>23158151</v>
      </c>
      <c r="AB18" s="57"/>
      <c r="AC18" s="57"/>
      <c r="AD18" s="57">
        <f t="shared" si="0"/>
        <v>25730229</v>
      </c>
      <c r="AE18" s="57"/>
      <c r="AF18" s="57"/>
      <c r="AG18" s="57">
        <f t="shared" si="0"/>
        <v>27929778</v>
      </c>
      <c r="AH18" s="46"/>
    </row>
    <row r="20" spans="1:34" x14ac:dyDescent="0.25">
      <c r="AD20" s="43"/>
      <c r="AE20" s="43"/>
      <c r="AF20" s="43"/>
    </row>
    <row r="21" spans="1:34" x14ac:dyDescent="0.25">
      <c r="AD21" s="41"/>
      <c r="AE21" s="41"/>
      <c r="AF21" s="41"/>
    </row>
    <row r="23" spans="1:34" x14ac:dyDescent="0.25">
      <c r="AA23" s="41"/>
      <c r="AB23" s="41"/>
      <c r="AC23" s="41"/>
    </row>
    <row r="28" spans="1:34" x14ac:dyDescent="0.25">
      <c r="G28" s="41"/>
      <c r="H28" s="41"/>
      <c r="I28" s="41"/>
      <c r="J28" s="41"/>
      <c r="K28" s="41"/>
    </row>
  </sheetData>
  <mergeCells count="9">
    <mergeCell ref="A18:B18"/>
    <mergeCell ref="A2:AG2"/>
    <mergeCell ref="A4:A10"/>
    <mergeCell ref="B4:AG4"/>
    <mergeCell ref="B9:AG9"/>
    <mergeCell ref="A11:AG11"/>
    <mergeCell ref="A12:A16"/>
    <mergeCell ref="B12:AG12"/>
    <mergeCell ref="B15:A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Ермакова Наталья Юрьевна</cp:lastModifiedBy>
  <dcterms:created xsi:type="dcterms:W3CDTF">2013-11-13T16:10:49Z</dcterms:created>
  <dcterms:modified xsi:type="dcterms:W3CDTF">2025-01-20T12:04:17Z</dcterms:modified>
</cp:coreProperties>
</file>