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3920" yWindow="75" windowWidth="11235" windowHeight="11790" firstSheet="8" activeTab="11"/>
  </bookViews>
  <sheets>
    <sheet name="2013" sheetId="17" state="hidden" r:id="rId1"/>
    <sheet name="2014" sheetId="18" state="hidden" r:id="rId2"/>
    <sheet name="2015" sheetId="19" state="hidden" r:id="rId3"/>
    <sheet name="2016" sheetId="20" state="hidden" r:id="rId4"/>
    <sheet name="2017" sheetId="21" state="hidden" r:id="rId5"/>
    <sheet name="2018" sheetId="22" state="hidden" r:id="rId6"/>
    <sheet name="2019" sheetId="23" state="hidden" r:id="rId7"/>
    <sheet name="2020" sheetId="24" state="hidden" r:id="rId8"/>
    <sheet name="2021" sheetId="25" r:id="rId9"/>
    <sheet name="2022" sheetId="26" r:id="rId10"/>
    <sheet name="2023" sheetId="27" r:id="rId11"/>
    <sheet name="2024" sheetId="28" r:id="rId12"/>
  </sheets>
  <externalReferences>
    <externalReference r:id="rId13"/>
    <externalReference r:id="rId14"/>
    <externalReference r:id="rId15"/>
    <externalReference r:id="rId16"/>
    <externalReference r:id="rId17"/>
  </externalReferences>
  <calcPr calcId="162913"/>
</workbook>
</file>

<file path=xl/calcChain.xml><?xml version="1.0" encoding="utf-8"?>
<calcChain xmlns="http://schemas.openxmlformats.org/spreadsheetml/2006/main">
  <c r="N44" i="28" l="1"/>
  <c r="M44" i="28"/>
  <c r="L44" i="28"/>
  <c r="K44" i="28"/>
  <c r="J44" i="28"/>
  <c r="I44" i="28"/>
  <c r="H44" i="28"/>
  <c r="G44" i="28"/>
  <c r="F44" i="28"/>
  <c r="E44" i="28"/>
  <c r="D44" i="28"/>
  <c r="C44" i="28"/>
  <c r="AH40" i="25" l="1"/>
  <c r="AH33" i="25"/>
  <c r="AH32" i="25"/>
  <c r="AH27" i="25"/>
  <c r="AH25" i="25"/>
  <c r="AH24" i="25"/>
  <c r="AH23" i="25"/>
  <c r="AH22" i="25"/>
  <c r="AH19" i="25"/>
  <c r="AH17" i="25"/>
  <c r="AH16" i="25"/>
  <c r="AH9" i="25"/>
  <c r="AH8" i="25"/>
  <c r="AH7" i="25"/>
  <c r="AH6" i="25"/>
  <c r="AH5" i="25"/>
  <c r="G44" i="27"/>
  <c r="F44" i="27"/>
  <c r="D44" i="27"/>
  <c r="H44" i="27"/>
  <c r="C44" i="27" l="1"/>
  <c r="E44" i="27"/>
  <c r="AS16" i="26"/>
  <c r="K44" i="27" l="1"/>
  <c r="I44" i="27"/>
  <c r="J44" i="27"/>
  <c r="AO16" i="26"/>
  <c r="L44" i="27" l="1"/>
  <c r="AK16" i="26"/>
  <c r="N44" i="27" l="1"/>
  <c r="M44" i="27"/>
  <c r="AG17" i="26"/>
  <c r="AG16" i="26"/>
  <c r="AC17" i="26" l="1"/>
  <c r="AC16" i="26"/>
  <c r="Y17" i="26" l="1"/>
  <c r="Y16" i="26"/>
  <c r="U17" i="26" l="1"/>
  <c r="AH28" i="25" l="1"/>
  <c r="J27" i="26" l="1"/>
  <c r="J19" i="26"/>
  <c r="G27" i="26" l="1"/>
  <c r="G19" i="26"/>
  <c r="D44" i="26" l="1"/>
  <c r="W40" i="24"/>
  <c r="W33" i="24"/>
  <c r="W32" i="24"/>
  <c r="W27" i="24"/>
  <c r="W25" i="24"/>
  <c r="W24" i="24"/>
  <c r="W23" i="24"/>
  <c r="W22" i="24"/>
  <c r="W19" i="24"/>
  <c r="W17" i="24"/>
  <c r="W16" i="24"/>
  <c r="W15" i="24"/>
  <c r="W9" i="24"/>
  <c r="W8" i="24"/>
  <c r="W7" i="24"/>
  <c r="W6" i="24"/>
  <c r="W5" i="24"/>
  <c r="AS44" i="26"/>
  <c r="AO44" i="26"/>
  <c r="AK44" i="26"/>
  <c r="AG44" i="26"/>
  <c r="AC44" i="26"/>
  <c r="Y44" i="26"/>
  <c r="U44" i="26"/>
  <c r="Q44" i="26"/>
  <c r="M44" i="26"/>
  <c r="J44" i="26"/>
  <c r="G44" i="26"/>
  <c r="AG44" i="25" l="1"/>
  <c r="AD44" i="25"/>
  <c r="AA44" i="25"/>
  <c r="X44" i="25"/>
  <c r="U44" i="25"/>
  <c r="R44" i="25"/>
  <c r="O44" i="25"/>
  <c r="L44" i="25"/>
  <c r="I44" i="25"/>
  <c r="G44" i="25"/>
  <c r="E44" i="25"/>
  <c r="C44" i="25"/>
  <c r="O40" i="23"/>
  <c r="O33" i="23"/>
  <c r="O32" i="23"/>
  <c r="O27" i="23"/>
  <c r="O25" i="23"/>
  <c r="O24" i="23"/>
  <c r="O23" i="23"/>
  <c r="O22" i="23"/>
  <c r="O19" i="23"/>
  <c r="O17" i="23"/>
  <c r="O16" i="23"/>
  <c r="O9" i="23"/>
  <c r="O8" i="23"/>
  <c r="O6" i="23"/>
  <c r="O5" i="23"/>
  <c r="Q7" i="23"/>
  <c r="Q6" i="23"/>
  <c r="Q8" i="23"/>
  <c r="Q9" i="23"/>
  <c r="Q15" i="23"/>
  <c r="Q16" i="23"/>
  <c r="Q17" i="23"/>
  <c r="Q19" i="23"/>
  <c r="Q22" i="23"/>
  <c r="Q23" i="23"/>
  <c r="Q24" i="23"/>
  <c r="Q25" i="23"/>
  <c r="Q27" i="23"/>
  <c r="Q32" i="23"/>
  <c r="Q33" i="23"/>
  <c r="Q40" i="23"/>
  <c r="Q5" i="23"/>
  <c r="C44" i="24"/>
  <c r="D44" i="23"/>
  <c r="E44" i="23"/>
  <c r="F44" i="23"/>
  <c r="G44" i="23"/>
  <c r="H44" i="23"/>
  <c r="I44" i="23"/>
  <c r="J44" i="23"/>
  <c r="K44" i="23"/>
  <c r="L44" i="23"/>
  <c r="M44" i="23"/>
  <c r="N44" i="23"/>
  <c r="C44" i="23"/>
  <c r="D44" i="24"/>
  <c r="E44" i="24"/>
  <c r="F44" i="24"/>
  <c r="H44" i="24"/>
  <c r="J44" i="24"/>
  <c r="L44" i="24"/>
  <c r="N44" i="24"/>
  <c r="P44" i="24"/>
  <c r="R44" i="24"/>
  <c r="T44" i="24"/>
  <c r="V44" i="24"/>
  <c r="I9" i="22"/>
  <c r="I8" i="22"/>
  <c r="I6" i="22"/>
  <c r="I33" i="22"/>
  <c r="I32" i="22"/>
  <c r="H9" i="22"/>
  <c r="H8" i="22"/>
  <c r="H6" i="22"/>
  <c r="H33" i="22"/>
  <c r="H32" i="22"/>
  <c r="G33" i="22"/>
  <c r="G32" i="22"/>
  <c r="G9" i="22"/>
  <c r="G8" i="22"/>
  <c r="G6" i="22"/>
  <c r="F8" i="22"/>
  <c r="F9" i="22"/>
  <c r="F6" i="22"/>
  <c r="F24" i="22"/>
  <c r="F25" i="22"/>
  <c r="F32" i="22"/>
  <c r="F33" i="22"/>
  <c r="F52" i="22"/>
  <c r="D52" i="22"/>
  <c r="C52" i="22"/>
  <c r="E25" i="22"/>
  <c r="E24" i="22"/>
  <c r="E33" i="22"/>
  <c r="E32" i="22"/>
  <c r="E9" i="22"/>
  <c r="E8" i="22"/>
  <c r="E6" i="22"/>
  <c r="E27" i="22"/>
  <c r="E52" i="22" s="1"/>
  <c r="M52" i="22"/>
  <c r="K52" i="22"/>
  <c r="J52" i="22"/>
  <c r="H52" i="22"/>
  <c r="L52" i="22"/>
  <c r="G52" i="22"/>
  <c r="N52" i="22"/>
  <c r="I52" i="22"/>
  <c r="N25" i="21"/>
  <c r="N24" i="21"/>
  <c r="N9" i="21"/>
  <c r="N8" i="21"/>
  <c r="N6" i="21"/>
  <c r="N15" i="21"/>
  <c r="M52" i="21"/>
  <c r="N52" i="21"/>
  <c r="L32" i="21"/>
  <c r="L33" i="21"/>
  <c r="L52" i="21"/>
  <c r="K27" i="21"/>
  <c r="K52" i="21" s="1"/>
  <c r="J52" i="21"/>
  <c r="I25" i="21"/>
  <c r="I24" i="21"/>
  <c r="I6" i="21"/>
  <c r="I33" i="21"/>
  <c r="I32" i="21"/>
  <c r="I52" i="21"/>
  <c r="H52" i="21"/>
  <c r="G25" i="21"/>
  <c r="G24" i="21"/>
  <c r="G6" i="21"/>
  <c r="G8" i="21"/>
  <c r="G33" i="21"/>
  <c r="G32" i="21"/>
  <c r="G52" i="21"/>
  <c r="F9" i="21"/>
  <c r="F8" i="21"/>
  <c r="F6" i="21"/>
  <c r="F33" i="21"/>
  <c r="F32" i="21"/>
  <c r="F25" i="21"/>
  <c r="F24" i="21"/>
  <c r="F52" i="21"/>
  <c r="E6" i="21"/>
  <c r="E25" i="21"/>
  <c r="E24" i="21"/>
  <c r="E9" i="21"/>
  <c r="E8" i="21"/>
  <c r="E33" i="21"/>
  <c r="E32" i="21"/>
  <c r="E52" i="21"/>
  <c r="D32" i="21"/>
  <c r="C32" i="21"/>
  <c r="D33" i="21"/>
  <c r="C33" i="21"/>
  <c r="D25" i="21"/>
  <c r="D24" i="21"/>
  <c r="C25" i="21"/>
  <c r="C24" i="21"/>
  <c r="C6" i="21"/>
  <c r="D6" i="21"/>
  <c r="D9" i="21"/>
  <c r="D8" i="21"/>
  <c r="C8" i="21"/>
  <c r="D52" i="21"/>
  <c r="C52" i="21"/>
  <c r="M27" i="20"/>
  <c r="L27" i="20"/>
  <c r="L25" i="20"/>
  <c r="L28" i="20" s="1"/>
  <c r="L24" i="20"/>
  <c r="L23" i="20"/>
  <c r="K28" i="20"/>
  <c r="I28" i="20"/>
  <c r="N28" i="20"/>
  <c r="M28" i="20"/>
  <c r="J28" i="20"/>
  <c r="H28" i="20"/>
  <c r="G28" i="20"/>
  <c r="F28" i="20"/>
  <c r="E28" i="20"/>
  <c r="D28" i="20"/>
  <c r="C28" i="20"/>
  <c r="N28" i="19"/>
  <c r="L28" i="19"/>
  <c r="C28" i="19"/>
  <c r="M28" i="19"/>
  <c r="K28" i="19"/>
  <c r="J28" i="19"/>
  <c r="I28" i="19"/>
  <c r="H28" i="19"/>
  <c r="G28" i="19"/>
  <c r="F28" i="19"/>
  <c r="E28" i="19"/>
  <c r="D28" i="19"/>
  <c r="N28" i="18"/>
  <c r="M28" i="18"/>
  <c r="L28" i="18"/>
  <c r="K28" i="18"/>
  <c r="J28" i="18"/>
  <c r="I28" i="18"/>
  <c r="H28" i="18"/>
  <c r="G28" i="18"/>
  <c r="F28" i="18"/>
  <c r="E28" i="18"/>
  <c r="D28" i="18"/>
  <c r="C28" i="18"/>
  <c r="N28" i="17"/>
  <c r="M28" i="17"/>
  <c r="L28" i="17"/>
  <c r="K28" i="17"/>
  <c r="J28" i="17"/>
  <c r="I28" i="17"/>
  <c r="H28" i="17"/>
  <c r="G28" i="17"/>
  <c r="F28" i="17"/>
  <c r="E28" i="17"/>
  <c r="D28" i="17"/>
  <c r="C28" i="17"/>
</calcChain>
</file>

<file path=xl/sharedStrings.xml><?xml version="1.0" encoding="utf-8"?>
<sst xmlns="http://schemas.openxmlformats.org/spreadsheetml/2006/main" count="608" uniqueCount="45">
  <si>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</si>
  <si>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</si>
  <si>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</si>
  <si>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</si>
  <si>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</si>
  <si>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</si>
  <si>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</si>
  <si>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</si>
  <si>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</si>
  <si>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</si>
  <si>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</si>
  <si>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</si>
  <si>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</si>
  <si>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</si>
  <si>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</si>
  <si>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</si>
  <si>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</si>
  <si>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</si>
  <si>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</si>
  <si>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</si>
  <si>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</si>
  <si>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</si>
  <si>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ОАО "МРСК Северо-Запада" - "Вологдаэнерго"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</si>
  <si>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</si>
  <si>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</si>
  <si>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2015 год</t>
  </si>
  <si>
    <t>Октябрьская дирекция по энергообеспечению - структурного подразделения "Трансэнерго"- филиала ОАО "РЖД"</t>
  </si>
  <si>
    <t>Северная 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</si>
  <si>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2016 год</t>
  </si>
  <si>
    <t>ПАО "МРСК Северо-Запада" - "Вологдаэнерго"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</si>
  <si>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2017 год</t>
  </si>
  <si>
    <t>МУП "Грязовецкие Электросети"</t>
  </si>
  <si>
    <t>ООО "Теплосервис"</t>
  </si>
  <si>
    <t xml:space="preserve">АО "Вологдаоблэнерго" 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</si>
  <si>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</si>
  <si>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</si>
  <si>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2020 год</t>
  </si>
  <si>
    <t>Октябрьская дирекция по энергообеспечению - структурное подразделение "Трансэнерго"- филиала ОАО "РЖД"</t>
  </si>
  <si>
    <t>Северная  дирекция по энергообеспечению - структурное подразделение "Трансэнерго"- филиала ОАО "РЖД"</t>
  </si>
  <si>
    <t>Население, кВт.ч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</si>
  <si>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2021 год</t>
  </si>
  <si>
    <t>ПАО "Россети Северо-Запад" - "Вологдаэнерго"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</si>
  <si>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</si>
  <si>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</si>
  <si>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Вологодской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</si>
</sst>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2" fillId="0" borderId="0" xfId="0" applyNumberFormat="1" applyFont="1"/>
    <xf numFmtId="3" fontId="2" fillId="0" borderId="5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" xfId="0" applyNumberFormat="1" applyFont="1" applyFill="1" applyBorder="1"/>
    <xf numFmtId="3" fontId="4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165" fontId="0" fillId="0" borderId="0" xfId="1" applyNumberFormat="1" applyFont="1" applyFill="1"/>
    <xf numFmtId="165" fontId="0" fillId="0" borderId="0" xfId="0" applyNumberFormat="1" applyFill="1"/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3" fontId="7" fillId="0" borderId="0" xfId="0" applyNumberFormat="1" applyFont="1" applyFill="1"/>
    <xf numFmtId="3" fontId="4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6\&#1091;&#1089;&#1083;&#1091;&#1075;&#1080;%202016\&#1091;&#1089;&#1083;&#1091;&#1075;&#1080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7\&#1091;&#1089;&#1083;&#1091;&#1075;&#1080;%202017\&#1091;&#1089;&#1083;&#1091;&#1075;&#1080;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eganina\&#1056;&#1072;&#1073;&#1086;&#1095;&#1080;&#1081;%20&#1089;&#1090;&#1086;&#1083;\&#1058;&#1057;&#1054;%20&#1076;&#1083;&#1103;%20&#1079;&#1072;&#1087;&#1086;&#1083;&#1085;&#1077;&#1085;&#1080;&#1103;\&#1050;&#1086;&#1087;&#1080;&#1103;%20&#1042;&#1086;&#1083;&#1086;&#1075;&#1086;&#1076;&#1089;&#1082;&#1072;&#1103;%20&#1086;&#1073;&#1083;&#1072;&#1089;&#1090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anina\AppData\Local\Microsoft\Windows\Temporary%20Internet%20Files\Content.Outlook\QPTF69M7\&#1042;&#1086;&#1083;&#1086;&#1075;&#1086;&#1076;&#1089;&#1082;&#1072;&#1103;%20&#1086;&#1073;&#1083;&#1072;&#1089;&#1090;&#1100;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8\&#1091;&#1089;&#1083;&#1091;&#1075;&#1080;%202018\&#1091;&#1089;&#1083;&#1091;&#1075;&#1080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2">
          <cell r="L192">
            <v>3671</v>
          </cell>
        </row>
        <row r="193">
          <cell r="L193">
            <v>306434</v>
          </cell>
        </row>
        <row r="194">
          <cell r="L194">
            <v>115993</v>
          </cell>
        </row>
        <row r="195">
          <cell r="L195">
            <v>47757</v>
          </cell>
        </row>
        <row r="196">
          <cell r="L196">
            <v>11021</v>
          </cell>
        </row>
        <row r="197">
          <cell r="L197">
            <v>159478</v>
          </cell>
        </row>
        <row r="198">
          <cell r="L198">
            <v>3929</v>
          </cell>
        </row>
        <row r="199">
          <cell r="L199">
            <v>22793</v>
          </cell>
        </row>
        <row r="200">
          <cell r="L200">
            <v>18850</v>
          </cell>
        </row>
        <row r="201">
          <cell r="L201">
            <v>260726</v>
          </cell>
        </row>
        <row r="202">
          <cell r="L202">
            <v>10721</v>
          </cell>
        </row>
        <row r="215">
          <cell r="L215">
            <v>53598</v>
          </cell>
        </row>
        <row r="216">
          <cell r="L216">
            <v>12065</v>
          </cell>
        </row>
        <row r="217">
          <cell r="L217">
            <v>112459</v>
          </cell>
        </row>
        <row r="218">
          <cell r="L218">
            <v>4440</v>
          </cell>
        </row>
        <row r="219">
          <cell r="L219">
            <v>24378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L23">
            <v>70862697</v>
          </cell>
        </row>
        <row r="141">
          <cell r="L141">
            <v>214580</v>
          </cell>
        </row>
        <row r="142">
          <cell r="L142">
            <v>8512</v>
          </cell>
        </row>
        <row r="175">
          <cell r="L175">
            <v>21460</v>
          </cell>
        </row>
        <row r="176">
          <cell r="L176">
            <v>7599.0000000000009</v>
          </cell>
        </row>
        <row r="177">
          <cell r="L177">
            <v>159550</v>
          </cell>
        </row>
        <row r="178">
          <cell r="L178">
            <v>4501</v>
          </cell>
        </row>
        <row r="179">
          <cell r="L179">
            <v>15377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</sheetNames>
    <sheetDataSet>
      <sheetData sheetId="0"/>
      <sheetData sheetId="1"/>
      <sheetData sheetId="2"/>
      <sheetData sheetId="3"/>
      <sheetData sheetId="4">
        <row r="34">
          <cell r="C34">
            <v>3840</v>
          </cell>
          <cell r="D34">
            <v>2977</v>
          </cell>
        </row>
        <row r="41">
          <cell r="C41">
            <v>134934</v>
          </cell>
          <cell r="D41">
            <v>104640</v>
          </cell>
        </row>
        <row r="42">
          <cell r="C42">
            <v>41333</v>
          </cell>
          <cell r="D42">
            <v>37794</v>
          </cell>
        </row>
        <row r="49">
          <cell r="C49">
            <v>10699</v>
          </cell>
          <cell r="D49">
            <v>12964</v>
          </cell>
        </row>
        <row r="58">
          <cell r="C58">
            <v>1651</v>
          </cell>
          <cell r="D58">
            <v>1348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</sheetNames>
    <sheetDataSet>
      <sheetData sheetId="0"/>
      <sheetData sheetId="1"/>
      <sheetData sheetId="2"/>
      <sheetData sheetId="3"/>
      <sheetData sheetId="4">
        <row r="34">
          <cell r="L34">
            <v>2366</v>
          </cell>
        </row>
        <row r="41">
          <cell r="L41">
            <v>97065</v>
          </cell>
        </row>
        <row r="42">
          <cell r="L42">
            <v>36943</v>
          </cell>
        </row>
        <row r="49">
          <cell r="L49">
            <v>8389</v>
          </cell>
        </row>
        <row r="58">
          <cell r="L58">
            <v>1105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2">
          <cell r="L52">
            <v>2539</v>
          </cell>
        </row>
        <row r="53">
          <cell r="L53">
            <v>260525</v>
          </cell>
        </row>
        <row r="54">
          <cell r="L54">
            <v>131263</v>
          </cell>
        </row>
        <row r="55">
          <cell r="L55">
            <v>18151</v>
          </cell>
        </row>
        <row r="56">
          <cell r="L56">
            <v>5462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A13" zoomScale="90" zoomScaleNormal="90" workbookViewId="0">
      <selection activeCell="A12" sqref="A12:A2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54" t="s">
        <v>22</v>
      </c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2.5" customHeight="1" x14ac:dyDescent="0.25">
      <c r="A5" s="55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55"/>
      <c r="B6" s="5" t="s">
        <v>14</v>
      </c>
      <c r="C6" s="3">
        <v>77025217</v>
      </c>
      <c r="D6" s="3">
        <v>66949850.000000007</v>
      </c>
      <c r="E6" s="3">
        <v>77198109</v>
      </c>
      <c r="F6" s="3">
        <v>72568246</v>
      </c>
      <c r="G6" s="3">
        <v>73333906</v>
      </c>
      <c r="H6" s="3">
        <v>68501269</v>
      </c>
      <c r="I6" s="3">
        <v>68840757</v>
      </c>
      <c r="J6" s="3">
        <v>69073770</v>
      </c>
      <c r="K6" s="3">
        <v>67678520</v>
      </c>
      <c r="L6" s="3">
        <v>73938111</v>
      </c>
      <c r="M6" s="3">
        <v>72987470</v>
      </c>
      <c r="N6" s="3">
        <v>84778506</v>
      </c>
    </row>
    <row r="7" spans="1:14" ht="22.5" customHeight="1" x14ac:dyDescent="0.25">
      <c r="A7" s="55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55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55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55"/>
      <c r="B10" s="56" t="s">
        <v>21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ht="22.5" customHeight="1" x14ac:dyDescent="0.25">
      <c r="A11" s="55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54" t="s">
        <v>26</v>
      </c>
      <c r="B12" s="56" t="s">
        <v>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ht="22.5" customHeight="1" x14ac:dyDescent="0.25">
      <c r="A13" s="55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55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55"/>
      <c r="B15" s="5" t="s">
        <v>15</v>
      </c>
      <c r="C15" s="3">
        <v>10608</v>
      </c>
      <c r="D15" s="3">
        <v>4414</v>
      </c>
      <c r="E15" s="3">
        <v>9708</v>
      </c>
      <c r="F15" s="3">
        <v>5806</v>
      </c>
      <c r="G15" s="3">
        <v>2365</v>
      </c>
      <c r="H15" s="3">
        <v>860</v>
      </c>
      <c r="I15" s="3">
        <v>860</v>
      </c>
      <c r="J15" s="3">
        <v>1475</v>
      </c>
      <c r="K15" s="3">
        <v>3901</v>
      </c>
      <c r="L15" s="3">
        <v>41629</v>
      </c>
      <c r="M15" s="3">
        <v>35121</v>
      </c>
      <c r="N15" s="3">
        <v>31947</v>
      </c>
    </row>
    <row r="16" spans="1:14" ht="22.5" customHeight="1" x14ac:dyDescent="0.25">
      <c r="A16" s="55"/>
      <c r="B16" s="5" t="s">
        <v>16</v>
      </c>
      <c r="C16" s="3">
        <v>26166</v>
      </c>
      <c r="D16" s="3">
        <v>20492</v>
      </c>
      <c r="E16" s="3">
        <v>21139</v>
      </c>
      <c r="F16" s="3">
        <v>21442</v>
      </c>
      <c r="G16" s="3">
        <v>15629</v>
      </c>
      <c r="H16" s="3">
        <v>7753</v>
      </c>
      <c r="I16" s="3">
        <v>6632</v>
      </c>
      <c r="J16" s="3">
        <v>7603</v>
      </c>
      <c r="K16" s="3">
        <v>8757</v>
      </c>
      <c r="L16" s="3">
        <v>13165</v>
      </c>
      <c r="M16" s="3">
        <v>15047</v>
      </c>
      <c r="N16" s="3">
        <v>18353</v>
      </c>
    </row>
    <row r="17" spans="1:14" ht="22.5" customHeight="1" x14ac:dyDescent="0.25">
      <c r="A17" s="55"/>
      <c r="B17" s="5" t="s">
        <v>17</v>
      </c>
      <c r="C17" s="3">
        <v>13840</v>
      </c>
      <c r="D17" s="3">
        <v>9428</v>
      </c>
      <c r="E17" s="3">
        <v>8943</v>
      </c>
      <c r="F17" s="3">
        <v>6007</v>
      </c>
      <c r="G17" s="3">
        <v>2133</v>
      </c>
      <c r="H17" s="3">
        <v>1517</v>
      </c>
      <c r="I17" s="3">
        <v>1790</v>
      </c>
      <c r="J17" s="3">
        <v>1695</v>
      </c>
      <c r="K17" s="3">
        <v>2725</v>
      </c>
      <c r="L17" s="3">
        <v>4596</v>
      </c>
      <c r="M17" s="3">
        <v>3352</v>
      </c>
      <c r="N17" s="3">
        <v>5388</v>
      </c>
    </row>
    <row r="18" spans="1:14" ht="22.5" customHeight="1" x14ac:dyDescent="0.25">
      <c r="A18" s="55"/>
      <c r="B18" s="56" t="s">
        <v>21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ht="22.5" customHeight="1" x14ac:dyDescent="0.25">
      <c r="A19" s="55"/>
      <c r="B19" s="4"/>
      <c r="C19" s="3">
        <v>10714</v>
      </c>
      <c r="D19" s="3">
        <v>2472</v>
      </c>
      <c r="E19" s="3">
        <v>3421</v>
      </c>
      <c r="F19" s="3">
        <v>5133</v>
      </c>
      <c r="G19" s="3">
        <v>2774</v>
      </c>
      <c r="H19" s="3">
        <v>5818</v>
      </c>
      <c r="I19" s="3">
        <v>10870</v>
      </c>
      <c r="J19" s="3">
        <v>3014</v>
      </c>
      <c r="K19" s="3">
        <v>8926</v>
      </c>
      <c r="L19" s="3">
        <v>4033.0000000000005</v>
      </c>
      <c r="M19" s="3">
        <v>6520</v>
      </c>
      <c r="N19" s="3">
        <v>572</v>
      </c>
    </row>
    <row r="20" spans="1:14" ht="22.5" customHeight="1" x14ac:dyDescent="0.25">
      <c r="A20" s="54" t="s">
        <v>27</v>
      </c>
      <c r="B20" s="56" t="s">
        <v>20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ht="22.5" customHeight="1" x14ac:dyDescent="0.25">
      <c r="A21" s="55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55"/>
      <c r="B22" s="5" t="s">
        <v>14</v>
      </c>
      <c r="C22" s="3">
        <v>808341</v>
      </c>
      <c r="D22" s="3">
        <v>746911</v>
      </c>
      <c r="E22" s="3">
        <v>805001</v>
      </c>
      <c r="F22" s="3">
        <v>829315</v>
      </c>
      <c r="G22" s="3">
        <v>867205</v>
      </c>
      <c r="H22" s="3">
        <v>895501</v>
      </c>
      <c r="I22" s="3">
        <v>888584</v>
      </c>
      <c r="J22" s="3">
        <v>869736</v>
      </c>
      <c r="K22" s="3">
        <v>786764</v>
      </c>
      <c r="L22" s="3">
        <v>783179</v>
      </c>
      <c r="M22" s="3">
        <v>729818</v>
      </c>
      <c r="N22" s="3">
        <v>747808</v>
      </c>
    </row>
    <row r="23" spans="1:14" ht="22.5" customHeight="1" x14ac:dyDescent="0.25">
      <c r="A23" s="55"/>
      <c r="B23" s="5" t="s">
        <v>15</v>
      </c>
      <c r="C23" s="3">
        <v>92962</v>
      </c>
      <c r="D23" s="3">
        <v>59041</v>
      </c>
      <c r="E23" s="3">
        <v>83272</v>
      </c>
      <c r="F23" s="3">
        <v>17502</v>
      </c>
      <c r="G23" s="3">
        <v>12642</v>
      </c>
      <c r="H23" s="3">
        <v>7283</v>
      </c>
      <c r="I23" s="3">
        <v>8151</v>
      </c>
      <c r="J23" s="3">
        <v>7417</v>
      </c>
      <c r="K23" s="3">
        <v>15808</v>
      </c>
      <c r="L23" s="3">
        <v>23617</v>
      </c>
      <c r="M23" s="3">
        <v>28050</v>
      </c>
      <c r="N23" s="3">
        <v>63815</v>
      </c>
    </row>
    <row r="24" spans="1:14" ht="22.5" customHeight="1" x14ac:dyDescent="0.25">
      <c r="A24" s="55"/>
      <c r="B24" s="5" t="s">
        <v>16</v>
      </c>
      <c r="C24" s="3">
        <v>912754</v>
      </c>
      <c r="D24" s="3">
        <v>806933</v>
      </c>
      <c r="E24" s="3">
        <v>926329</v>
      </c>
      <c r="F24" s="3">
        <v>739875</v>
      </c>
      <c r="G24" s="3">
        <v>530849</v>
      </c>
      <c r="H24" s="3">
        <v>468451</v>
      </c>
      <c r="I24" s="3">
        <v>525119</v>
      </c>
      <c r="J24" s="3">
        <v>515564</v>
      </c>
      <c r="K24" s="3">
        <v>570949</v>
      </c>
      <c r="L24" s="3">
        <v>724626</v>
      </c>
      <c r="M24" s="3">
        <v>708809</v>
      </c>
      <c r="N24" s="3">
        <v>638293</v>
      </c>
    </row>
    <row r="25" spans="1:14" ht="22.5" customHeight="1" x14ac:dyDescent="0.25">
      <c r="A25" s="55"/>
      <c r="B25" s="5" t="s">
        <v>17</v>
      </c>
      <c r="C25" s="3">
        <v>317397</v>
      </c>
      <c r="D25" s="3">
        <v>252060</v>
      </c>
      <c r="E25" s="3">
        <v>272681</v>
      </c>
      <c r="F25" s="3">
        <v>212164</v>
      </c>
      <c r="G25" s="3">
        <v>182227</v>
      </c>
      <c r="H25" s="3">
        <v>178833</v>
      </c>
      <c r="I25" s="3">
        <v>168470</v>
      </c>
      <c r="J25" s="3">
        <v>204525</v>
      </c>
      <c r="K25" s="3">
        <v>190537</v>
      </c>
      <c r="L25" s="3">
        <v>216604</v>
      </c>
      <c r="M25" s="3">
        <v>199364</v>
      </c>
      <c r="N25" s="3">
        <v>240469</v>
      </c>
    </row>
    <row r="26" spans="1:14" ht="22.5" customHeight="1" x14ac:dyDescent="0.25">
      <c r="A26" s="55"/>
      <c r="B26" s="56" t="s">
        <v>21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</row>
    <row r="27" spans="1:14" ht="22.5" customHeight="1" x14ac:dyDescent="0.25">
      <c r="A27" s="55"/>
      <c r="B27" s="4"/>
      <c r="C27" s="3">
        <v>448954</v>
      </c>
      <c r="D27" s="3">
        <v>254022</v>
      </c>
      <c r="E27" s="3">
        <v>248925</v>
      </c>
      <c r="F27" s="3">
        <v>227923</v>
      </c>
      <c r="G27" s="3">
        <v>281650</v>
      </c>
      <c r="H27" s="3">
        <v>246026</v>
      </c>
      <c r="I27" s="3">
        <v>295906</v>
      </c>
      <c r="J27" s="3">
        <v>293849</v>
      </c>
      <c r="K27" s="3">
        <v>309001</v>
      </c>
      <c r="L27" s="3">
        <v>286948</v>
      </c>
      <c r="M27" s="3">
        <v>262894</v>
      </c>
      <c r="N27" s="3">
        <v>291774</v>
      </c>
    </row>
    <row r="28" spans="1:14" ht="22.5" customHeight="1" x14ac:dyDescent="0.25">
      <c r="A28" s="59" t="s">
        <v>18</v>
      </c>
      <c r="B28" s="60"/>
      <c r="C28" s="9">
        <f>SUM(C5:C9,C11,C13:C17,C19,C21:C25,C27)</f>
        <v>79666953</v>
      </c>
      <c r="D28" s="9">
        <f t="shared" ref="D28:N28" si="0">SUM(D5:D9,D11,D13:D17,D19,D21:D25,D27)</f>
        <v>69105623</v>
      </c>
      <c r="E28" s="9">
        <f t="shared" si="0"/>
        <v>79577528</v>
      </c>
      <c r="F28" s="9">
        <f t="shared" si="0"/>
        <v>74633413</v>
      </c>
      <c r="G28" s="9">
        <f t="shared" si="0"/>
        <v>75231380</v>
      </c>
      <c r="H28" s="9">
        <f t="shared" si="0"/>
        <v>70313311</v>
      </c>
      <c r="I28" s="9">
        <f t="shared" si="0"/>
        <v>70747139</v>
      </c>
      <c r="J28" s="9">
        <f t="shared" si="0"/>
        <v>70978648</v>
      </c>
      <c r="K28" s="9">
        <f t="shared" si="0"/>
        <v>69575888</v>
      </c>
      <c r="L28" s="9">
        <f t="shared" si="0"/>
        <v>76036508</v>
      </c>
      <c r="M28" s="9">
        <f t="shared" si="0"/>
        <v>74976445</v>
      </c>
      <c r="N28" s="9">
        <f t="shared" si="0"/>
        <v>86816925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zoomScale="70" zoomScaleNormal="70" workbookViewId="0">
      <selection activeCell="AT1" sqref="AT1:AT1048576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3" width="0" style="21" hidden="1" customWidth="1"/>
    <col min="4" max="4" width="18.7109375" style="21" customWidth="1"/>
    <col min="5" max="6" width="18.7109375" style="21" hidden="1" customWidth="1"/>
    <col min="7" max="7" width="18.7109375" style="21" customWidth="1"/>
    <col min="8" max="9" width="18.7109375" style="21" hidden="1" customWidth="1"/>
    <col min="10" max="10" width="18.7109375" style="21" customWidth="1"/>
    <col min="11" max="12" width="18.7109375" style="21" hidden="1" customWidth="1"/>
    <col min="13" max="13" width="18.7109375" style="21" customWidth="1"/>
    <col min="14" max="16" width="18.7109375" style="21" hidden="1" customWidth="1"/>
    <col min="17" max="17" width="18.7109375" style="21" customWidth="1"/>
    <col min="18" max="20" width="18.7109375" style="21" hidden="1" customWidth="1"/>
    <col min="21" max="21" width="18.7109375" style="21" customWidth="1"/>
    <col min="22" max="24" width="18.7109375" style="21" hidden="1" customWidth="1"/>
    <col min="25" max="25" width="18.7109375" style="21" customWidth="1"/>
    <col min="26" max="28" width="18.7109375" style="21" hidden="1" customWidth="1"/>
    <col min="29" max="29" width="18.7109375" style="21" customWidth="1"/>
    <col min="30" max="32" width="18.7109375" style="21" hidden="1" customWidth="1"/>
    <col min="33" max="33" width="18.7109375" style="21" customWidth="1"/>
    <col min="34" max="36" width="18.7109375" style="21" hidden="1" customWidth="1"/>
    <col min="37" max="37" width="18.7109375" style="21" customWidth="1"/>
    <col min="38" max="40" width="18.7109375" style="21" hidden="1" customWidth="1"/>
    <col min="41" max="41" width="18.7109375" style="21" customWidth="1"/>
    <col min="42" max="44" width="18.7109375" style="21" hidden="1" customWidth="1"/>
    <col min="45" max="45" width="18.7109375" style="21" customWidth="1"/>
    <col min="46" max="46" width="9.140625" style="42"/>
    <col min="47" max="16384" width="9.140625" style="21"/>
  </cols>
  <sheetData>
    <row r="1" spans="1:4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x14ac:dyDescent="0.25">
      <c r="A2" s="62" t="s">
        <v>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</row>
    <row r="3" spans="1:45" ht="42.75" x14ac:dyDescent="0.25">
      <c r="A3" s="22" t="s">
        <v>0</v>
      </c>
      <c r="B3" s="23" t="s">
        <v>1</v>
      </c>
      <c r="C3" s="23"/>
      <c r="D3" s="24" t="s">
        <v>2</v>
      </c>
      <c r="E3" s="24"/>
      <c r="F3" s="24"/>
      <c r="G3" s="24" t="s">
        <v>3</v>
      </c>
      <c r="H3" s="24"/>
      <c r="I3" s="24"/>
      <c r="J3" s="24" t="s">
        <v>4</v>
      </c>
      <c r="K3" s="24"/>
      <c r="L3" s="24"/>
      <c r="M3" s="24" t="s">
        <v>5</v>
      </c>
      <c r="N3" s="24"/>
      <c r="O3" s="24"/>
      <c r="P3" s="24"/>
      <c r="Q3" s="24" t="s">
        <v>6</v>
      </c>
      <c r="R3" s="24"/>
      <c r="S3" s="24"/>
      <c r="T3" s="24"/>
      <c r="U3" s="24" t="s">
        <v>7</v>
      </c>
      <c r="V3" s="24"/>
      <c r="W3" s="24"/>
      <c r="X3" s="24"/>
      <c r="Y3" s="24" t="s">
        <v>8</v>
      </c>
      <c r="Z3" s="24"/>
      <c r="AA3" s="24"/>
      <c r="AB3" s="24"/>
      <c r="AC3" s="24" t="s">
        <v>9</v>
      </c>
      <c r="AD3" s="24"/>
      <c r="AE3" s="24"/>
      <c r="AF3" s="24"/>
      <c r="AG3" s="24" t="s">
        <v>10</v>
      </c>
      <c r="AH3" s="24"/>
      <c r="AI3" s="24"/>
      <c r="AJ3" s="24"/>
      <c r="AK3" s="24" t="s">
        <v>11</v>
      </c>
      <c r="AL3" s="24"/>
      <c r="AM3" s="24"/>
      <c r="AN3" s="24"/>
      <c r="AO3" s="24" t="s">
        <v>12</v>
      </c>
      <c r="AP3" s="24"/>
      <c r="AQ3" s="24"/>
      <c r="AR3" s="24"/>
      <c r="AS3" s="24" t="s">
        <v>13</v>
      </c>
    </row>
    <row r="4" spans="1:45" x14ac:dyDescent="0.25">
      <c r="A4" s="63" t="s">
        <v>41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7"/>
    </row>
    <row r="5" spans="1:45" x14ac:dyDescent="0.25">
      <c r="A5" s="64"/>
      <c r="B5" s="25" t="s">
        <v>19</v>
      </c>
      <c r="C5" s="25">
        <v>1</v>
      </c>
      <c r="D5" s="26">
        <v>385133</v>
      </c>
      <c r="E5" s="26"/>
      <c r="F5" s="26">
        <v>1.1883955551223315</v>
      </c>
      <c r="G5" s="26">
        <v>300936</v>
      </c>
      <c r="H5" s="26"/>
      <c r="I5" s="26">
        <v>0.88951172271860446</v>
      </c>
      <c r="J5" s="26">
        <v>323166</v>
      </c>
      <c r="K5" s="26"/>
      <c r="L5" s="26">
        <v>0.54321233446571116</v>
      </c>
      <c r="M5" s="26">
        <v>246012</v>
      </c>
      <c r="N5" s="40"/>
      <c r="O5" s="40"/>
      <c r="P5" s="40">
        <v>0.65445230186379011</v>
      </c>
      <c r="Q5" s="26">
        <v>239613</v>
      </c>
      <c r="R5" s="26"/>
      <c r="S5" s="26"/>
      <c r="T5" s="26">
        <v>0.90402391001909976</v>
      </c>
      <c r="U5" s="26">
        <v>155143</v>
      </c>
      <c r="V5" s="26"/>
      <c r="W5" s="26"/>
      <c r="X5" s="26">
        <v>1.037312118939715</v>
      </c>
      <c r="Y5" s="26">
        <v>157118</v>
      </c>
      <c r="Z5" s="26"/>
      <c r="AA5" s="26"/>
      <c r="AB5" s="26">
        <v>1.0371141019757728</v>
      </c>
      <c r="AC5" s="26">
        <v>75478</v>
      </c>
      <c r="AD5" s="26"/>
      <c r="AE5" s="26"/>
      <c r="AF5" s="26">
        <v>1.2247107242652184</v>
      </c>
      <c r="AG5" s="26">
        <v>90833</v>
      </c>
      <c r="AH5" s="26"/>
      <c r="AI5" s="26"/>
      <c r="AJ5" s="26">
        <v>2.8880249834202738</v>
      </c>
      <c r="AK5" s="26">
        <v>104782</v>
      </c>
      <c r="AL5" s="26"/>
      <c r="AM5" s="26"/>
      <c r="AN5" s="26">
        <v>0.59454327660456829</v>
      </c>
      <c r="AO5" s="26">
        <v>187184</v>
      </c>
      <c r="AP5" s="26"/>
      <c r="AQ5" s="26"/>
      <c r="AR5" s="26">
        <v>1.3045500925237363</v>
      </c>
      <c r="AS5" s="26">
        <v>354063</v>
      </c>
    </row>
    <row r="6" spans="1:45" x14ac:dyDescent="0.25">
      <c r="A6" s="64"/>
      <c r="B6" s="25" t="s">
        <v>14</v>
      </c>
      <c r="C6" s="25">
        <v>0.93348036256120703</v>
      </c>
      <c r="D6" s="26">
        <v>75580125</v>
      </c>
      <c r="E6" s="26"/>
      <c r="F6" s="26">
        <v>0.85753254785207977</v>
      </c>
      <c r="G6" s="26">
        <v>64190124</v>
      </c>
      <c r="H6" s="26"/>
      <c r="I6" s="26">
        <v>1.1611610548291815</v>
      </c>
      <c r="J6" s="26">
        <v>78903059</v>
      </c>
      <c r="K6" s="26"/>
      <c r="L6" s="26">
        <v>0.94250716359591868</v>
      </c>
      <c r="M6" s="26">
        <v>75521312</v>
      </c>
      <c r="N6" s="40"/>
      <c r="O6" s="40"/>
      <c r="P6" s="40">
        <v>0.93937971811924714</v>
      </c>
      <c r="Q6" s="26">
        <v>76849804</v>
      </c>
      <c r="R6" s="26"/>
      <c r="S6" s="26"/>
      <c r="T6" s="26">
        <v>0.9816696618446108</v>
      </c>
      <c r="U6" s="26">
        <v>73701060</v>
      </c>
      <c r="V6" s="26"/>
      <c r="W6" s="26"/>
      <c r="X6" s="26">
        <v>1.0123630774213987</v>
      </c>
      <c r="Y6" s="26">
        <v>76268916</v>
      </c>
      <c r="Z6" s="26"/>
      <c r="AA6" s="26"/>
      <c r="AB6" s="26">
        <v>0.9658772239294362</v>
      </c>
      <c r="AC6" s="26">
        <v>75392071</v>
      </c>
      <c r="AD6" s="26"/>
      <c r="AE6" s="26"/>
      <c r="AF6" s="26">
        <v>1.0106678817190566</v>
      </c>
      <c r="AG6" s="26">
        <v>60658140</v>
      </c>
      <c r="AH6" s="26"/>
      <c r="AI6" s="26"/>
      <c r="AJ6" s="26">
        <v>1.1033526701073346</v>
      </c>
      <c r="AK6" s="26">
        <v>76113889</v>
      </c>
      <c r="AL6" s="26"/>
      <c r="AM6" s="26"/>
      <c r="AN6" s="26">
        <v>1.0169143899574209</v>
      </c>
      <c r="AO6" s="26">
        <v>79006485</v>
      </c>
      <c r="AP6" s="26"/>
      <c r="AQ6" s="26"/>
      <c r="AR6" s="26">
        <v>1.0848185637822036</v>
      </c>
      <c r="AS6" s="26">
        <v>77838693</v>
      </c>
    </row>
    <row r="7" spans="1:45" x14ac:dyDescent="0.25">
      <c r="A7" s="64"/>
      <c r="B7" s="25" t="s">
        <v>15</v>
      </c>
      <c r="C7" s="25">
        <v>0</v>
      </c>
      <c r="D7" s="26">
        <v>0</v>
      </c>
      <c r="E7" s="26"/>
      <c r="F7" s="26">
        <v>0</v>
      </c>
      <c r="G7" s="26">
        <v>0</v>
      </c>
      <c r="H7" s="26"/>
      <c r="I7" s="26">
        <v>0</v>
      </c>
      <c r="J7" s="26">
        <v>0</v>
      </c>
      <c r="K7" s="26"/>
      <c r="L7" s="26">
        <v>0</v>
      </c>
      <c r="M7" s="26">
        <v>0</v>
      </c>
      <c r="N7" s="40"/>
      <c r="O7" s="40"/>
      <c r="P7" s="40"/>
      <c r="Q7" s="26">
        <v>0</v>
      </c>
      <c r="R7" s="26"/>
      <c r="S7" s="26"/>
      <c r="T7" s="26">
        <v>0</v>
      </c>
      <c r="U7" s="26">
        <v>0</v>
      </c>
      <c r="V7" s="26"/>
      <c r="W7" s="26"/>
      <c r="X7" s="26">
        <v>0</v>
      </c>
      <c r="Y7" s="26">
        <v>0</v>
      </c>
      <c r="Z7" s="26"/>
      <c r="AA7" s="26"/>
      <c r="AB7" s="26">
        <v>0</v>
      </c>
      <c r="AC7" s="26">
        <v>0</v>
      </c>
      <c r="AD7" s="26"/>
      <c r="AE7" s="26"/>
      <c r="AF7" s="26">
        <v>0</v>
      </c>
      <c r="AG7" s="26">
        <v>0</v>
      </c>
      <c r="AH7" s="26"/>
      <c r="AI7" s="26"/>
      <c r="AJ7" s="26"/>
      <c r="AK7" s="26">
        <v>0</v>
      </c>
      <c r="AL7" s="26"/>
      <c r="AM7" s="26"/>
      <c r="AN7" s="26">
        <v>0</v>
      </c>
      <c r="AO7" s="26">
        <v>0</v>
      </c>
      <c r="AP7" s="26"/>
      <c r="AQ7" s="26"/>
      <c r="AR7" s="26">
        <v>0</v>
      </c>
      <c r="AS7" s="26">
        <v>0</v>
      </c>
    </row>
    <row r="8" spans="1:45" x14ac:dyDescent="0.25">
      <c r="A8" s="64"/>
      <c r="B8" s="25" t="s">
        <v>16</v>
      </c>
      <c r="C8" s="25">
        <v>1</v>
      </c>
      <c r="D8" s="26">
        <v>152188</v>
      </c>
      <c r="E8" s="26"/>
      <c r="F8" s="26">
        <v>1.0484095885311173</v>
      </c>
      <c r="G8" s="26">
        <v>107768</v>
      </c>
      <c r="H8" s="26"/>
      <c r="I8" s="26">
        <v>0.84611171630966642</v>
      </c>
      <c r="J8" s="26">
        <v>125219</v>
      </c>
      <c r="K8" s="26"/>
      <c r="L8" s="26">
        <v>0.49009133329539634</v>
      </c>
      <c r="M8" s="26">
        <v>63060</v>
      </c>
      <c r="N8" s="40"/>
      <c r="O8" s="40"/>
      <c r="P8" s="40">
        <v>0.77255112556060324</v>
      </c>
      <c r="Q8" s="26">
        <v>54288</v>
      </c>
      <c r="R8" s="26"/>
      <c r="S8" s="26"/>
      <c r="T8" s="26">
        <v>0.38274968061922299</v>
      </c>
      <c r="U8" s="26">
        <v>25918</v>
      </c>
      <c r="V8" s="26"/>
      <c r="W8" s="26"/>
      <c r="X8" s="26">
        <v>1.2439503264124085</v>
      </c>
      <c r="Y8" s="26">
        <v>18247</v>
      </c>
      <c r="Z8" s="26"/>
      <c r="AA8" s="26"/>
      <c r="AB8" s="26">
        <v>1.0676715463836168</v>
      </c>
      <c r="AC8" s="26">
        <v>25205</v>
      </c>
      <c r="AD8" s="26"/>
      <c r="AE8" s="26"/>
      <c r="AF8" s="26">
        <v>1.8658067854239042</v>
      </c>
      <c r="AG8" s="26">
        <v>55360</v>
      </c>
      <c r="AH8" s="26"/>
      <c r="AI8" s="26"/>
      <c r="AJ8" s="26">
        <v>1.1825294641972863</v>
      </c>
      <c r="AK8" s="26">
        <v>47597</v>
      </c>
      <c r="AL8" s="26"/>
      <c r="AM8" s="26"/>
      <c r="AN8" s="26">
        <v>1.1178726968174204</v>
      </c>
      <c r="AO8" s="26">
        <v>70097</v>
      </c>
      <c r="AP8" s="26"/>
      <c r="AQ8" s="26"/>
      <c r="AR8" s="26">
        <v>2.2467446843580023</v>
      </c>
      <c r="AS8" s="26">
        <v>93777</v>
      </c>
    </row>
    <row r="9" spans="1:45" x14ac:dyDescent="0.25">
      <c r="A9" s="64"/>
      <c r="B9" s="25" t="s">
        <v>17</v>
      </c>
      <c r="C9" s="25">
        <v>1</v>
      </c>
      <c r="D9" s="26">
        <v>7042</v>
      </c>
      <c r="E9" s="26"/>
      <c r="F9" s="26">
        <v>1.3177512985029025</v>
      </c>
      <c r="G9" s="26">
        <v>6258</v>
      </c>
      <c r="H9" s="26"/>
      <c r="I9" s="26">
        <v>0.84465569209367031</v>
      </c>
      <c r="J9" s="26">
        <v>5139</v>
      </c>
      <c r="K9" s="26"/>
      <c r="L9" s="26">
        <v>0.58646719736480923</v>
      </c>
      <c r="M9" s="26">
        <v>3682</v>
      </c>
      <c r="N9" s="40"/>
      <c r="O9" s="40"/>
      <c r="P9" s="40">
        <v>0.52398783056400655</v>
      </c>
      <c r="Q9" s="26">
        <v>3709</v>
      </c>
      <c r="R9" s="26"/>
      <c r="S9" s="26"/>
      <c r="T9" s="26">
        <v>1.1067440821795445</v>
      </c>
      <c r="U9" s="26">
        <v>1298</v>
      </c>
      <c r="V9" s="26"/>
      <c r="W9" s="26"/>
      <c r="X9" s="26">
        <v>0.10855528652138821</v>
      </c>
      <c r="Y9" s="26">
        <v>736</v>
      </c>
      <c r="Z9" s="26"/>
      <c r="AA9" s="26"/>
      <c r="AB9" s="26">
        <v>4.7249070631970262</v>
      </c>
      <c r="AC9" s="26">
        <v>539</v>
      </c>
      <c r="AD9" s="26"/>
      <c r="AE9" s="26"/>
      <c r="AF9" s="26">
        <v>1.3886703383162864</v>
      </c>
      <c r="AG9" s="26">
        <v>2335</v>
      </c>
      <c r="AH9" s="26"/>
      <c r="AI9" s="26"/>
      <c r="AJ9" s="26">
        <v>1.5784702549575071</v>
      </c>
      <c r="AK9" s="26">
        <v>2386</v>
      </c>
      <c r="AL9" s="26"/>
      <c r="AM9" s="26"/>
      <c r="AN9" s="26">
        <v>1.6410624551328068</v>
      </c>
      <c r="AO9" s="26">
        <v>18226</v>
      </c>
      <c r="AP9" s="26"/>
      <c r="AQ9" s="26"/>
      <c r="AR9" s="26">
        <v>1.6196412948381453</v>
      </c>
      <c r="AS9" s="26">
        <v>799</v>
      </c>
    </row>
    <row r="10" spans="1:45" x14ac:dyDescent="0.25">
      <c r="A10" s="64"/>
      <c r="B10" s="27"/>
      <c r="C10" s="28"/>
      <c r="D10" s="68" t="s">
        <v>39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9"/>
    </row>
    <row r="11" spans="1:45" x14ac:dyDescent="0.25">
      <c r="A11" s="64"/>
      <c r="B11" s="30"/>
      <c r="C11" s="30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</row>
    <row r="12" spans="1:45" x14ac:dyDescent="0.25">
      <c r="A12" s="63" t="s">
        <v>37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48"/>
      <c r="Z12" s="48"/>
      <c r="AA12" s="48"/>
      <c r="AB12" s="51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9"/>
    </row>
    <row r="13" spans="1:45" x14ac:dyDescent="0.25">
      <c r="A13" s="64"/>
      <c r="B13" s="25" t="s">
        <v>19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0"/>
      <c r="O13" s="40"/>
      <c r="P13" s="40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x14ac:dyDescent="0.25">
      <c r="A14" s="64"/>
      <c r="B14" s="25" t="s">
        <v>14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0"/>
      <c r="O14" s="40"/>
      <c r="P14" s="40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</row>
    <row r="15" spans="1:45" x14ac:dyDescent="0.25">
      <c r="A15" s="64"/>
      <c r="B15" s="25" t="s">
        <v>15</v>
      </c>
      <c r="C15" s="25">
        <v>0</v>
      </c>
      <c r="D15" s="26">
        <v>0</v>
      </c>
      <c r="E15" s="26"/>
      <c r="F15" s="26">
        <v>0</v>
      </c>
      <c r="G15" s="26">
        <v>0</v>
      </c>
      <c r="H15" s="26"/>
      <c r="I15" s="26"/>
      <c r="J15" s="26">
        <v>0</v>
      </c>
      <c r="K15" s="26"/>
      <c r="L15" s="26"/>
      <c r="M15" s="26">
        <v>0</v>
      </c>
      <c r="N15" s="40"/>
      <c r="O15" s="40"/>
      <c r="P15" s="40"/>
      <c r="Q15" s="26">
        <v>0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</row>
    <row r="16" spans="1:45" x14ac:dyDescent="0.25">
      <c r="A16" s="64"/>
      <c r="B16" s="25" t="s">
        <v>16</v>
      </c>
      <c r="C16" s="25">
        <v>0.95008460236886638</v>
      </c>
      <c r="D16" s="26">
        <v>0</v>
      </c>
      <c r="E16" s="26"/>
      <c r="F16" s="26">
        <v>0.89203027604630447</v>
      </c>
      <c r="G16" s="26">
        <v>0</v>
      </c>
      <c r="H16" s="26"/>
      <c r="I16" s="26">
        <v>1.0549039181432494</v>
      </c>
      <c r="J16" s="26">
        <v>0</v>
      </c>
      <c r="K16" s="26"/>
      <c r="L16" s="26">
        <v>1.3139342323160634</v>
      </c>
      <c r="M16" s="26">
        <v>0</v>
      </c>
      <c r="N16" s="40"/>
      <c r="O16" s="40"/>
      <c r="P16" s="40">
        <v>0.93842275837234423</v>
      </c>
      <c r="Q16" s="26">
        <v>0</v>
      </c>
      <c r="R16" s="26"/>
      <c r="S16" s="26"/>
      <c r="T16" s="26">
        <v>0.41346891788181123</v>
      </c>
      <c r="U16" s="26"/>
      <c r="V16" s="26"/>
      <c r="W16" s="26"/>
      <c r="X16" s="26">
        <v>0.75220417633410674</v>
      </c>
      <c r="Y16" s="26">
        <f t="shared" ref="Y16:Y17" si="0">U16*X16</f>
        <v>0</v>
      </c>
      <c r="Z16" s="26"/>
      <c r="AA16" s="26"/>
      <c r="AB16" s="26">
        <v>1.2911782850092535</v>
      </c>
      <c r="AC16" s="26">
        <f t="shared" ref="AC16:AC17" si="1">Y16*AB16</f>
        <v>0</v>
      </c>
      <c r="AD16" s="26"/>
      <c r="AE16" s="26"/>
      <c r="AF16" s="26">
        <v>2.0539894887720975</v>
      </c>
      <c r="AG16" s="26">
        <f t="shared" ref="AG16:AG17" si="2">AC16*AF16</f>
        <v>0</v>
      </c>
      <c r="AH16" s="26"/>
      <c r="AI16" s="26"/>
      <c r="AJ16" s="26">
        <v>0.85182600604791814</v>
      </c>
      <c r="AK16" s="26">
        <f t="shared" ref="AK16" si="3">AG16*AJ16</f>
        <v>0</v>
      </c>
      <c r="AL16" s="26"/>
      <c r="AM16" s="26"/>
      <c r="AN16" s="26">
        <v>1.2255598033861277</v>
      </c>
      <c r="AO16" s="26">
        <f t="shared" ref="AO16" si="4">AK16*AN16</f>
        <v>0</v>
      </c>
      <c r="AP16" s="26"/>
      <c r="AQ16" s="26"/>
      <c r="AR16" s="26">
        <v>1.089349376114082</v>
      </c>
      <c r="AS16" s="26">
        <f t="shared" ref="AS16" si="5">AO16*AR16</f>
        <v>0</v>
      </c>
    </row>
    <row r="17" spans="1:45" x14ac:dyDescent="0.25">
      <c r="A17" s="64"/>
      <c r="B17" s="25" t="s">
        <v>17</v>
      </c>
      <c r="C17" s="25">
        <v>1</v>
      </c>
      <c r="D17" s="26">
        <v>614</v>
      </c>
      <c r="E17" s="26"/>
      <c r="F17" s="26">
        <v>0.90390879478827357</v>
      </c>
      <c r="G17" s="26">
        <v>555</v>
      </c>
      <c r="H17" s="26"/>
      <c r="I17" s="26">
        <v>1.1063063063063063</v>
      </c>
      <c r="J17" s="26">
        <v>614</v>
      </c>
      <c r="K17" s="26"/>
      <c r="L17" s="26">
        <v>0.96742671009771986</v>
      </c>
      <c r="M17" s="26">
        <v>594</v>
      </c>
      <c r="N17" s="40"/>
      <c r="O17" s="40"/>
      <c r="P17" s="40">
        <v>1.0336700336700337</v>
      </c>
      <c r="Q17" s="26">
        <v>614</v>
      </c>
      <c r="R17" s="26"/>
      <c r="S17" s="26"/>
      <c r="T17" s="26">
        <v>0.96742671009771986</v>
      </c>
      <c r="U17" s="26">
        <f>Q17*T17</f>
        <v>594</v>
      </c>
      <c r="V17" s="26"/>
      <c r="W17" s="26"/>
      <c r="X17" s="26">
        <v>1.0336700336700337</v>
      </c>
      <c r="Y17" s="26">
        <f t="shared" si="0"/>
        <v>614</v>
      </c>
      <c r="Z17" s="26"/>
      <c r="AA17" s="26"/>
      <c r="AB17" s="26">
        <v>1</v>
      </c>
      <c r="AC17" s="26">
        <f t="shared" si="1"/>
        <v>614</v>
      </c>
      <c r="AD17" s="26"/>
      <c r="AE17" s="26"/>
      <c r="AF17" s="26">
        <v>0.96742671009771986</v>
      </c>
      <c r="AG17" s="26">
        <f t="shared" si="2"/>
        <v>594</v>
      </c>
      <c r="AH17" s="26"/>
      <c r="AI17" s="26"/>
      <c r="AJ17" s="26">
        <v>1.0336700336700337</v>
      </c>
      <c r="AK17" s="26">
        <v>614</v>
      </c>
      <c r="AL17" s="26"/>
      <c r="AM17" s="26"/>
      <c r="AN17" s="26">
        <v>0.96742671009771986</v>
      </c>
      <c r="AO17" s="26">
        <v>594</v>
      </c>
      <c r="AP17" s="26"/>
      <c r="AQ17" s="26"/>
      <c r="AR17" s="26">
        <v>1.0336700336700337</v>
      </c>
      <c r="AS17" s="26">
        <v>614</v>
      </c>
    </row>
    <row r="18" spans="1:45" x14ac:dyDescent="0.25">
      <c r="A18" s="64"/>
      <c r="B18" s="27"/>
      <c r="C18" s="28"/>
      <c r="D18" s="68" t="s">
        <v>39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9"/>
    </row>
    <row r="19" spans="1:45" x14ac:dyDescent="0.25">
      <c r="A19" s="64"/>
      <c r="B19" s="30"/>
      <c r="C19" s="30">
        <v>0.94768095008826836</v>
      </c>
      <c r="D19" s="26">
        <v>0</v>
      </c>
      <c r="E19" s="26"/>
      <c r="F19" s="26">
        <v>1.0360711261642677</v>
      </c>
      <c r="G19" s="26">
        <f>D19*F19</f>
        <v>0</v>
      </c>
      <c r="H19" s="26"/>
      <c r="I19" s="26">
        <v>0.74975482183720166</v>
      </c>
      <c r="J19" s="26">
        <f>G19*I19</f>
        <v>0</v>
      </c>
      <c r="K19" s="26"/>
      <c r="L19" s="26">
        <v>1.0708524089819054</v>
      </c>
      <c r="M19" s="26"/>
      <c r="N19" s="40"/>
      <c r="O19" s="40"/>
      <c r="P19" s="40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1:45" x14ac:dyDescent="0.25">
      <c r="A20" s="63" t="s">
        <v>38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6"/>
      <c r="V20" s="36"/>
      <c r="W20" s="36"/>
      <c r="X20" s="36"/>
      <c r="Y20" s="36"/>
      <c r="Z20" s="36"/>
      <c r="AA20" s="36"/>
      <c r="AB20" s="36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9"/>
    </row>
    <row r="21" spans="1:45" x14ac:dyDescent="0.25">
      <c r="A21" s="64"/>
      <c r="B21" s="25" t="s">
        <v>19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35"/>
      <c r="V21" s="35"/>
      <c r="W21" s="35"/>
      <c r="X21" s="35"/>
      <c r="Y21" s="35"/>
      <c r="Z21" s="35"/>
      <c r="AA21" s="35"/>
      <c r="AB21" s="3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1:45" x14ac:dyDescent="0.25">
      <c r="A22" s="64"/>
      <c r="B22" s="25" t="s">
        <v>14</v>
      </c>
      <c r="C22" s="25">
        <v>1.0063491072543389</v>
      </c>
      <c r="D22" s="26">
        <v>0</v>
      </c>
      <c r="E22" s="26"/>
      <c r="F22" s="26">
        <v>0.91086372575171992</v>
      </c>
      <c r="G22" s="26">
        <v>0</v>
      </c>
      <c r="H22" s="26"/>
      <c r="I22" s="26">
        <v>1.1249723316658551</v>
      </c>
      <c r="J22" s="26">
        <v>0</v>
      </c>
      <c r="K22" s="26"/>
      <c r="L22" s="26">
        <v>0.98176714413138155</v>
      </c>
      <c r="M22" s="26">
        <v>0</v>
      </c>
      <c r="N22" s="40"/>
      <c r="O22" s="40"/>
      <c r="P22" s="40"/>
      <c r="Q22" s="26">
        <v>0</v>
      </c>
      <c r="R22" s="26"/>
      <c r="S22" s="26"/>
      <c r="T22" s="26">
        <v>1.0832762234654172</v>
      </c>
      <c r="U22" s="26"/>
      <c r="V22" s="26"/>
      <c r="W22" s="26"/>
      <c r="X22" s="26"/>
      <c r="Y22" s="26"/>
      <c r="Z22" s="26"/>
      <c r="AA22" s="26"/>
      <c r="AB22" s="26"/>
      <c r="AC22" s="26">
        <v>0</v>
      </c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</row>
    <row r="23" spans="1:45" x14ac:dyDescent="0.25">
      <c r="A23" s="64"/>
      <c r="B23" s="25" t="s">
        <v>15</v>
      </c>
      <c r="C23" s="25">
        <v>0.71335786966875947</v>
      </c>
      <c r="D23" s="26">
        <v>49135</v>
      </c>
      <c r="E23" s="26"/>
      <c r="F23" s="26">
        <v>1.9394840667678301</v>
      </c>
      <c r="G23" s="26">
        <v>34105</v>
      </c>
      <c r="H23" s="26"/>
      <c r="I23" s="26">
        <v>1.3967389603480111</v>
      </c>
      <c r="J23" s="26">
        <v>67705</v>
      </c>
      <c r="K23" s="26"/>
      <c r="L23" s="26">
        <v>0.50295765180371943</v>
      </c>
      <c r="M23" s="26">
        <v>41860</v>
      </c>
      <c r="N23" s="40"/>
      <c r="O23" s="40"/>
      <c r="P23" s="40">
        <v>9.8275938878246538E-2</v>
      </c>
      <c r="Q23" s="26">
        <v>32155</v>
      </c>
      <c r="R23" s="26"/>
      <c r="S23" s="26"/>
      <c r="T23" s="26">
        <v>1.1087941976427924</v>
      </c>
      <c r="U23" s="26">
        <v>4295</v>
      </c>
      <c r="V23" s="26"/>
      <c r="W23" s="26"/>
      <c r="X23" s="26">
        <v>1.2628781684382666</v>
      </c>
      <c r="Y23" s="26">
        <v>4825</v>
      </c>
      <c r="Z23" s="26"/>
      <c r="AA23" s="26"/>
      <c r="AB23" s="26">
        <v>0.6124959533829718</v>
      </c>
      <c r="AC23" s="26">
        <v>4240</v>
      </c>
      <c r="AD23" s="26"/>
      <c r="AE23" s="26"/>
      <c r="AF23" s="26">
        <v>4.4149048625792808</v>
      </c>
      <c r="AG23" s="26">
        <v>29725</v>
      </c>
      <c r="AH23" s="26"/>
      <c r="AI23" s="26"/>
      <c r="AJ23" s="26">
        <v>1.7732551179217049</v>
      </c>
      <c r="AK23" s="26">
        <v>38640</v>
      </c>
      <c r="AL23" s="26"/>
      <c r="AM23" s="26"/>
      <c r="AN23" s="26">
        <v>1.2003780718336483</v>
      </c>
      <c r="AO23" s="26">
        <v>43170</v>
      </c>
      <c r="AP23" s="26"/>
      <c r="AQ23" s="26"/>
      <c r="AR23" s="26">
        <v>1.6275590551181103</v>
      </c>
      <c r="AS23" s="26">
        <v>39365</v>
      </c>
    </row>
    <row r="24" spans="1:45" x14ac:dyDescent="0.25">
      <c r="A24" s="64"/>
      <c r="B24" s="25" t="s">
        <v>16</v>
      </c>
      <c r="C24" s="25">
        <v>0.91163253977598924</v>
      </c>
      <c r="D24" s="26">
        <v>458114</v>
      </c>
      <c r="E24" s="26"/>
      <c r="F24" s="26">
        <v>1.0696181427341944</v>
      </c>
      <c r="G24" s="26">
        <v>367917</v>
      </c>
      <c r="H24" s="26"/>
      <c r="I24" s="26">
        <v>0.88688835466465243</v>
      </c>
      <c r="J24" s="26">
        <v>355914</v>
      </c>
      <c r="K24" s="26"/>
      <c r="L24" s="26">
        <v>0.81337077153066839</v>
      </c>
      <c r="M24" s="26">
        <v>309045</v>
      </c>
      <c r="N24" s="40"/>
      <c r="O24" s="40"/>
      <c r="P24" s="40">
        <v>0.88151032992561085</v>
      </c>
      <c r="Q24" s="26">
        <v>295577</v>
      </c>
      <c r="R24" s="26"/>
      <c r="S24" s="26"/>
      <c r="T24" s="26">
        <v>0.94576866957197414</v>
      </c>
      <c r="U24" s="26">
        <v>250874</v>
      </c>
      <c r="V24" s="26"/>
      <c r="W24" s="26"/>
      <c r="X24" s="26">
        <v>0.99943042124241932</v>
      </c>
      <c r="Y24" s="26">
        <v>261925</v>
      </c>
      <c r="Z24" s="26"/>
      <c r="AA24" s="26"/>
      <c r="AB24" s="26">
        <v>1.0364922653043653</v>
      </c>
      <c r="AC24" s="26">
        <v>262804</v>
      </c>
      <c r="AD24" s="26"/>
      <c r="AE24" s="26"/>
      <c r="AF24" s="26">
        <v>1.1079087742754692</v>
      </c>
      <c r="AG24" s="26">
        <v>278676</v>
      </c>
      <c r="AH24" s="26"/>
      <c r="AI24" s="26"/>
      <c r="AJ24" s="26">
        <v>1.0508120865035473</v>
      </c>
      <c r="AK24" s="26">
        <v>293141</v>
      </c>
      <c r="AL24" s="26"/>
      <c r="AM24" s="26"/>
      <c r="AN24" s="26">
        <v>1.0715158207687407</v>
      </c>
      <c r="AO24" s="26">
        <v>375202</v>
      </c>
      <c r="AP24" s="26"/>
      <c r="AQ24" s="26"/>
      <c r="AR24" s="26">
        <v>1.3851766470436215</v>
      </c>
      <c r="AS24" s="26">
        <v>383184</v>
      </c>
    </row>
    <row r="25" spans="1:45" x14ac:dyDescent="0.25">
      <c r="A25" s="64"/>
      <c r="B25" s="25" t="s">
        <v>17</v>
      </c>
      <c r="C25" s="25">
        <v>1.0693022950173316</v>
      </c>
      <c r="D25" s="26">
        <v>22978</v>
      </c>
      <c r="E25" s="26"/>
      <c r="F25" s="26">
        <v>1.0103933814209665</v>
      </c>
      <c r="G25" s="26">
        <v>17372</v>
      </c>
      <c r="H25" s="26"/>
      <c r="I25" s="26">
        <v>0.86287747468296683</v>
      </c>
      <c r="J25" s="26">
        <v>18038</v>
      </c>
      <c r="K25" s="26"/>
      <c r="L25" s="26">
        <v>0.80259216183830262</v>
      </c>
      <c r="M25" s="26">
        <v>15028</v>
      </c>
      <c r="N25" s="40"/>
      <c r="O25" s="40"/>
      <c r="P25" s="40">
        <v>0.94582340736186887</v>
      </c>
      <c r="Q25" s="26">
        <v>17006</v>
      </c>
      <c r="R25" s="26"/>
      <c r="S25" s="26"/>
      <c r="T25" s="26">
        <v>1.0416453874367426</v>
      </c>
      <c r="U25" s="26">
        <v>13907</v>
      </c>
      <c r="V25" s="26"/>
      <c r="W25" s="26"/>
      <c r="X25" s="26">
        <v>1.0302638616509181</v>
      </c>
      <c r="Y25" s="26">
        <v>16035</v>
      </c>
      <c r="Z25" s="26"/>
      <c r="AA25" s="26"/>
      <c r="AB25" s="26">
        <v>0.97078736751027472</v>
      </c>
      <c r="AC25" s="26">
        <v>15806</v>
      </c>
      <c r="AD25" s="26"/>
      <c r="AE25" s="26"/>
      <c r="AF25" s="26">
        <v>1.0302922269633128</v>
      </c>
      <c r="AG25" s="26">
        <v>26290</v>
      </c>
      <c r="AH25" s="26"/>
      <c r="AI25" s="26"/>
      <c r="AJ25" s="26">
        <v>0.95722225826683105</v>
      </c>
      <c r="AK25" s="26">
        <v>28436</v>
      </c>
      <c r="AL25" s="26"/>
      <c r="AM25" s="26"/>
      <c r="AN25" s="26">
        <v>0.980253496306003</v>
      </c>
      <c r="AO25" s="26">
        <v>32240</v>
      </c>
      <c r="AP25" s="26"/>
      <c r="AQ25" s="26"/>
      <c r="AR25" s="26">
        <v>1.1713646944937424</v>
      </c>
      <c r="AS25" s="26">
        <v>35583</v>
      </c>
    </row>
    <row r="26" spans="1:45" x14ac:dyDescent="0.25">
      <c r="A26" s="64"/>
      <c r="B26" s="27"/>
      <c r="C26" s="28"/>
      <c r="D26" s="68" t="s">
        <v>39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9"/>
    </row>
    <row r="27" spans="1:45" x14ac:dyDescent="0.25">
      <c r="A27" s="64"/>
      <c r="B27" s="30"/>
      <c r="C27" s="30">
        <v>1.0527233230549815</v>
      </c>
      <c r="D27" s="26">
        <v>0</v>
      </c>
      <c r="E27" s="26"/>
      <c r="F27" s="26">
        <v>1.0420921247397075</v>
      </c>
      <c r="G27" s="26">
        <f>D27*F27</f>
        <v>0</v>
      </c>
      <c r="H27" s="26"/>
      <c r="I27" s="26">
        <v>0.9168928719748175</v>
      </c>
      <c r="J27" s="26">
        <f>G27*I27</f>
        <v>0</v>
      </c>
      <c r="K27" s="26"/>
      <c r="L27" s="26"/>
      <c r="M27" s="26"/>
      <c r="N27" s="40"/>
      <c r="O27" s="40"/>
      <c r="P27" s="40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</row>
    <row r="28" spans="1:45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9"/>
    </row>
    <row r="29" spans="1:45" x14ac:dyDescent="0.25">
      <c r="A29" s="64"/>
      <c r="B29" s="15" t="s">
        <v>19</v>
      </c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41"/>
      <c r="O29" s="41"/>
      <c r="P29" s="41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</row>
    <row r="30" spans="1:45" x14ac:dyDescent="0.25">
      <c r="A30" s="64"/>
      <c r="B30" s="15" t="s">
        <v>14</v>
      </c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41"/>
      <c r="O30" s="41"/>
      <c r="P30" s="41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</row>
    <row r="31" spans="1:45" x14ac:dyDescent="0.25">
      <c r="A31" s="64"/>
      <c r="B31" s="15" t="s">
        <v>15</v>
      </c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41"/>
      <c r="O31" s="41"/>
      <c r="P31" s="41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</row>
    <row r="32" spans="1:45" x14ac:dyDescent="0.25">
      <c r="A32" s="64"/>
      <c r="B32" s="15" t="s">
        <v>16</v>
      </c>
      <c r="C32" s="15">
        <v>1</v>
      </c>
      <c r="D32" s="16">
        <v>235577</v>
      </c>
      <c r="E32" s="16"/>
      <c r="F32" s="16">
        <v>1.219661087575526</v>
      </c>
      <c r="G32" s="16">
        <v>205452</v>
      </c>
      <c r="H32" s="16"/>
      <c r="I32" s="16">
        <v>0.88523451334992231</v>
      </c>
      <c r="J32" s="16">
        <v>221232</v>
      </c>
      <c r="K32" s="16"/>
      <c r="L32" s="16">
        <v>0.74333607780579425</v>
      </c>
      <c r="M32" s="16">
        <v>179876</v>
      </c>
      <c r="N32" s="41"/>
      <c r="O32" s="41"/>
      <c r="P32" s="41">
        <v>0.93257299112164893</v>
      </c>
      <c r="Q32" s="16">
        <v>147873</v>
      </c>
      <c r="R32" s="16"/>
      <c r="S32" s="16"/>
      <c r="T32" s="16">
        <v>1.0055766911014197</v>
      </c>
      <c r="U32" s="3">
        <v>84099</v>
      </c>
      <c r="V32" s="3"/>
      <c r="W32" s="3"/>
      <c r="X32" s="3">
        <v>1.0576538003709479</v>
      </c>
      <c r="Y32" s="16">
        <v>67556</v>
      </c>
      <c r="Z32" s="16"/>
      <c r="AA32" s="16"/>
      <c r="AB32" s="16">
        <v>0.86884373445938279</v>
      </c>
      <c r="AC32" s="16">
        <v>85022</v>
      </c>
      <c r="AD32" s="16"/>
      <c r="AE32" s="16"/>
      <c r="AF32" s="16">
        <v>1.2263571184704678</v>
      </c>
      <c r="AG32" s="16">
        <v>106187</v>
      </c>
      <c r="AH32" s="16"/>
      <c r="AI32" s="16"/>
      <c r="AJ32" s="16">
        <v>1.5433889034455652</v>
      </c>
      <c r="AK32" s="16">
        <v>141859</v>
      </c>
      <c r="AL32" s="16"/>
      <c r="AM32" s="16"/>
      <c r="AN32" s="16">
        <v>1.1265895984423659</v>
      </c>
      <c r="AO32" s="16">
        <v>185467</v>
      </c>
      <c r="AP32" s="16"/>
      <c r="AQ32" s="16"/>
      <c r="AR32" s="16">
        <v>1.201156570223026</v>
      </c>
      <c r="AS32" s="16">
        <v>244673</v>
      </c>
    </row>
    <row r="33" spans="1:45" x14ac:dyDescent="0.25">
      <c r="A33" s="64"/>
      <c r="B33" s="15" t="s">
        <v>17</v>
      </c>
      <c r="C33" s="15">
        <v>1</v>
      </c>
      <c r="D33" s="16">
        <v>21163</v>
      </c>
      <c r="E33" s="16"/>
      <c r="F33" s="16">
        <v>1.0050627981696036</v>
      </c>
      <c r="G33" s="16">
        <v>20103</v>
      </c>
      <c r="H33" s="16"/>
      <c r="I33" s="16">
        <v>1.0037779715199071</v>
      </c>
      <c r="J33" s="16">
        <v>17115</v>
      </c>
      <c r="K33" s="16"/>
      <c r="L33" s="16">
        <v>0.76674387183941328</v>
      </c>
      <c r="M33" s="16">
        <v>15105</v>
      </c>
      <c r="N33" s="41"/>
      <c r="O33" s="41"/>
      <c r="P33" s="41">
        <v>0.76431718061674003</v>
      </c>
      <c r="Q33" s="16">
        <v>12299</v>
      </c>
      <c r="R33" s="16"/>
      <c r="S33" s="16"/>
      <c r="T33" s="16">
        <v>0.40741045697818035</v>
      </c>
      <c r="U33" s="3">
        <v>14336</v>
      </c>
      <c r="V33" s="3"/>
      <c r="W33" s="3"/>
      <c r="X33" s="3">
        <v>1.1016572352465643</v>
      </c>
      <c r="Y33" s="16">
        <v>18143</v>
      </c>
      <c r="Z33" s="16"/>
      <c r="AA33" s="16"/>
      <c r="AB33" s="16">
        <v>1.9385433865345809</v>
      </c>
      <c r="AC33" s="16">
        <v>20242</v>
      </c>
      <c r="AD33" s="16"/>
      <c r="AE33" s="16"/>
      <c r="AF33" s="16">
        <v>1.273776852465222</v>
      </c>
      <c r="AG33" s="16">
        <v>22997</v>
      </c>
      <c r="AH33" s="16"/>
      <c r="AI33" s="16"/>
      <c r="AJ33" s="16">
        <v>1.0538632986627043</v>
      </c>
      <c r="AK33" s="16">
        <v>24075</v>
      </c>
      <c r="AL33" s="16"/>
      <c r="AM33" s="16"/>
      <c r="AN33" s="16">
        <v>1.2583715192104337</v>
      </c>
      <c r="AO33" s="16">
        <v>25698</v>
      </c>
      <c r="AP33" s="16"/>
      <c r="AQ33" s="16"/>
      <c r="AR33" s="16">
        <v>1.3001120448179271</v>
      </c>
      <c r="AS33" s="16">
        <v>28918</v>
      </c>
    </row>
    <row r="34" spans="1:45" x14ac:dyDescent="0.25">
      <c r="A34" s="64"/>
      <c r="B34" s="17"/>
      <c r="C34" s="50"/>
      <c r="D34" s="68" t="s">
        <v>39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9"/>
    </row>
    <row r="35" spans="1:45" x14ac:dyDescent="0.25">
      <c r="A35" s="64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</row>
    <row r="36" spans="1:45" x14ac:dyDescent="0.25">
      <c r="A36" s="63" t="s">
        <v>32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7"/>
    </row>
    <row r="37" spans="1:45" x14ac:dyDescent="0.25">
      <c r="A37" s="64"/>
      <c r="B37" s="15" t="s">
        <v>19</v>
      </c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41"/>
      <c r="O37" s="41"/>
      <c r="P37" s="41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:45" x14ac:dyDescent="0.25">
      <c r="A38" s="64"/>
      <c r="B38" s="15" t="s">
        <v>14</v>
      </c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41"/>
      <c r="O38" s="41"/>
      <c r="P38" s="41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</row>
    <row r="39" spans="1:45" x14ac:dyDescent="0.25">
      <c r="A39" s="64"/>
      <c r="B39" s="15" t="s">
        <v>15</v>
      </c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41"/>
      <c r="O39" s="41"/>
      <c r="P39" s="41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</row>
    <row r="40" spans="1:45" x14ac:dyDescent="0.25">
      <c r="A40" s="64"/>
      <c r="B40" s="15" t="s">
        <v>16</v>
      </c>
      <c r="C40" s="15">
        <v>1</v>
      </c>
      <c r="D40" s="16">
        <v>1845</v>
      </c>
      <c r="E40" s="16"/>
      <c r="F40" s="16">
        <v>1.0082009226037929</v>
      </c>
      <c r="G40" s="16">
        <v>398</v>
      </c>
      <c r="H40" s="16"/>
      <c r="I40" s="16">
        <v>2.7961362480935434E-2</v>
      </c>
      <c r="J40" s="16">
        <v>1151</v>
      </c>
      <c r="K40" s="16"/>
      <c r="L40" s="16">
        <v>1.8181818181818181E-2</v>
      </c>
      <c r="M40" s="16">
        <v>1266</v>
      </c>
      <c r="N40" s="41"/>
      <c r="O40" s="41"/>
      <c r="P40" s="41">
        <v>22</v>
      </c>
      <c r="Q40" s="16">
        <v>1028</v>
      </c>
      <c r="R40" s="16"/>
      <c r="S40" s="16"/>
      <c r="T40" s="16">
        <v>11.863636363636363</v>
      </c>
      <c r="U40" s="3">
        <v>0</v>
      </c>
      <c r="V40" s="3"/>
      <c r="W40" s="3"/>
      <c r="X40" s="3">
        <v>1.4252873563218391</v>
      </c>
      <c r="Y40" s="16">
        <v>1006</v>
      </c>
      <c r="Z40" s="16"/>
      <c r="AA40" s="16"/>
      <c r="AB40" s="16">
        <v>2.6881720430107529E-3</v>
      </c>
      <c r="AC40" s="16">
        <v>564</v>
      </c>
      <c r="AD40" s="16"/>
      <c r="AE40" s="16"/>
      <c r="AF40" s="16">
        <v>182</v>
      </c>
      <c r="AG40" s="16">
        <v>24</v>
      </c>
      <c r="AH40" s="16"/>
      <c r="AI40" s="16"/>
      <c r="AJ40" s="16">
        <v>5.0494505494505493</v>
      </c>
      <c r="AK40" s="16">
        <v>1</v>
      </c>
      <c r="AL40" s="16"/>
      <c r="AM40" s="16"/>
      <c r="AN40" s="16">
        <v>3.6996735582154515E-2</v>
      </c>
      <c r="AO40" s="16">
        <v>0</v>
      </c>
      <c r="AP40" s="16"/>
      <c r="AQ40" s="16"/>
      <c r="AR40" s="16">
        <v>7.0588235294117645</v>
      </c>
      <c r="AS40" s="16">
        <v>157</v>
      </c>
    </row>
    <row r="41" spans="1:45" x14ac:dyDescent="0.25">
      <c r="A41" s="64"/>
      <c r="B41" s="15" t="s">
        <v>17</v>
      </c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</row>
    <row r="42" spans="1:45" x14ac:dyDescent="0.25">
      <c r="A42" s="64"/>
      <c r="B42" s="17"/>
      <c r="C42" s="50"/>
      <c r="D42" s="68" t="s">
        <v>39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9"/>
    </row>
    <row r="43" spans="1:45" x14ac:dyDescent="0.25">
      <c r="A43" s="64"/>
      <c r="B43" s="18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</row>
    <row r="44" spans="1:45" x14ac:dyDescent="0.25">
      <c r="A44" s="70" t="s">
        <v>18</v>
      </c>
      <c r="B44" s="71"/>
      <c r="C44" s="49"/>
      <c r="D44" s="31">
        <f>SUM(D5:D9,D11,D13:D17,D19,D21:D25,D27,D29:D33,,D37:D41,D35,D43)</f>
        <v>76913914</v>
      </c>
      <c r="E44" s="31"/>
      <c r="F44" s="31"/>
      <c r="G44" s="31">
        <f t="shared" ref="G44:AS44" si="6">SUM(G5:G9,G11,G13:G17,G19,G21:G25,G27,G29:G33,,G37:G41,G35,G43)</f>
        <v>65250988</v>
      </c>
      <c r="H44" s="31"/>
      <c r="I44" s="31"/>
      <c r="J44" s="31">
        <f t="shared" si="6"/>
        <v>80038352</v>
      </c>
      <c r="K44" s="31"/>
      <c r="L44" s="31"/>
      <c r="M44" s="31">
        <f t="shared" si="6"/>
        <v>76396840</v>
      </c>
      <c r="N44" s="31"/>
      <c r="O44" s="31"/>
      <c r="P44" s="31"/>
      <c r="Q44" s="31">
        <f t="shared" si="6"/>
        <v>77653966</v>
      </c>
      <c r="R44" s="31"/>
      <c r="S44" s="31"/>
      <c r="T44" s="31"/>
      <c r="U44" s="31">
        <f t="shared" si="6"/>
        <v>74251524</v>
      </c>
      <c r="V44" s="31"/>
      <c r="W44" s="31"/>
      <c r="X44" s="31"/>
      <c r="Y44" s="31">
        <f t="shared" si="6"/>
        <v>76815121</v>
      </c>
      <c r="Z44" s="31"/>
      <c r="AA44" s="31"/>
      <c r="AB44" s="31"/>
      <c r="AC44" s="31">
        <f t="shared" si="6"/>
        <v>75882585</v>
      </c>
      <c r="AD44" s="31"/>
      <c r="AE44" s="31"/>
      <c r="AF44" s="31"/>
      <c r="AG44" s="31">
        <f t="shared" si="6"/>
        <v>61271161</v>
      </c>
      <c r="AH44" s="31"/>
      <c r="AI44" s="31"/>
      <c r="AJ44" s="31"/>
      <c r="AK44" s="31">
        <f t="shared" si="6"/>
        <v>76795420</v>
      </c>
      <c r="AL44" s="31"/>
      <c r="AM44" s="31"/>
      <c r="AN44" s="31"/>
      <c r="AO44" s="31">
        <f t="shared" si="6"/>
        <v>79944363</v>
      </c>
      <c r="AP44" s="31"/>
      <c r="AQ44" s="31"/>
      <c r="AR44" s="31"/>
      <c r="AS44" s="31">
        <f t="shared" si="6"/>
        <v>79019826</v>
      </c>
    </row>
    <row r="45" spans="1:45" x14ac:dyDescent="0.25">
      <c r="D45" s="32"/>
      <c r="E45" s="32"/>
      <c r="F45" s="32"/>
      <c r="G45" s="32"/>
      <c r="H45" s="32"/>
      <c r="I45" s="32"/>
    </row>
    <row r="46" spans="1:45" x14ac:dyDescent="0.25">
      <c r="J46" s="32"/>
      <c r="K46" s="32"/>
      <c r="L46" s="32"/>
      <c r="Q46" s="32"/>
      <c r="R46" s="32"/>
      <c r="S46" s="32"/>
      <c r="T46" s="32"/>
    </row>
    <row r="47" spans="1:45" x14ac:dyDescent="0.25">
      <c r="G47" s="32"/>
      <c r="H47" s="32"/>
      <c r="I47" s="32"/>
      <c r="AC47" s="32"/>
      <c r="AD47" s="32"/>
      <c r="AE47" s="32"/>
      <c r="AF47" s="32"/>
      <c r="AS47" s="32"/>
    </row>
    <row r="48" spans="1:45" x14ac:dyDescent="0.25">
      <c r="Q48" s="33"/>
      <c r="R48" s="33"/>
      <c r="S48" s="33"/>
      <c r="T48" s="33"/>
      <c r="U48" s="32"/>
      <c r="V48" s="32"/>
      <c r="W48" s="32"/>
      <c r="X48" s="32"/>
      <c r="AK48" s="32"/>
      <c r="AL48" s="32"/>
      <c r="AM48" s="32"/>
      <c r="AN48" s="32"/>
      <c r="AO48" s="32"/>
      <c r="AP48" s="32"/>
      <c r="AQ48" s="32"/>
      <c r="AR48" s="32"/>
    </row>
    <row r="49" spans="17:20" x14ac:dyDescent="0.25">
      <c r="Q49" s="34"/>
      <c r="R49" s="34"/>
      <c r="S49" s="34"/>
      <c r="T49" s="34"/>
    </row>
    <row r="51" spans="17:20" x14ac:dyDescent="0.25">
      <c r="Q51" s="33"/>
      <c r="R51" s="33"/>
      <c r="S51" s="33"/>
      <c r="T51" s="33"/>
    </row>
    <row r="52" spans="17:20" x14ac:dyDescent="0.25">
      <c r="Q52" s="33"/>
      <c r="R52" s="33"/>
      <c r="S52" s="33"/>
      <c r="T52" s="33"/>
    </row>
  </sheetData>
  <mergeCells count="15">
    <mergeCell ref="A44:B44"/>
    <mergeCell ref="A20:A27"/>
    <mergeCell ref="D26:AS26"/>
    <mergeCell ref="A28:A35"/>
    <mergeCell ref="B28:AS28"/>
    <mergeCell ref="D34:AS34"/>
    <mergeCell ref="A36:A43"/>
    <mergeCell ref="B36:AS36"/>
    <mergeCell ref="D42:AS42"/>
    <mergeCell ref="A2:AS2"/>
    <mergeCell ref="A4:A11"/>
    <mergeCell ref="B4:AS4"/>
    <mergeCell ref="D10:AS10"/>
    <mergeCell ref="A12:A19"/>
    <mergeCell ref="D18:AS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0" zoomScaleNormal="70" workbookViewId="0">
      <selection activeCell="E23" sqref="A1:XFD1048576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14" width="18.7109375" style="21" customWidth="1"/>
    <col min="15" max="15" width="9.140625" style="45"/>
    <col min="16" max="16384" width="9.140625" style="21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62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42.75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63" t="s">
        <v>41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64"/>
      <c r="B5" s="25" t="s">
        <v>19</v>
      </c>
      <c r="C5" s="26">
        <v>261723</v>
      </c>
      <c r="D5" s="26">
        <v>231278</v>
      </c>
      <c r="E5" s="26">
        <v>221937</v>
      </c>
      <c r="F5" s="26">
        <v>130018</v>
      </c>
      <c r="G5" s="26">
        <v>116661</v>
      </c>
      <c r="H5" s="26">
        <v>74473</v>
      </c>
      <c r="I5" s="26">
        <v>99151</v>
      </c>
      <c r="J5" s="26">
        <v>80520</v>
      </c>
      <c r="K5" s="26">
        <v>72619</v>
      </c>
      <c r="L5" s="26">
        <v>104225</v>
      </c>
      <c r="M5" s="26">
        <v>175951</v>
      </c>
      <c r="N5" s="26">
        <v>609457</v>
      </c>
    </row>
    <row r="6" spans="1:14" x14ac:dyDescent="0.25">
      <c r="A6" s="64"/>
      <c r="B6" s="25" t="s">
        <v>14</v>
      </c>
      <c r="C6" s="26">
        <v>81666282</v>
      </c>
      <c r="D6" s="26">
        <v>67232840</v>
      </c>
      <c r="E6" s="26">
        <v>77483701</v>
      </c>
      <c r="F6" s="26">
        <v>73166725</v>
      </c>
      <c r="G6" s="26">
        <v>76946681</v>
      </c>
      <c r="H6" s="26">
        <v>72708619</v>
      </c>
      <c r="I6" s="26">
        <v>67043767</v>
      </c>
      <c r="J6" s="26">
        <v>77344322</v>
      </c>
      <c r="K6" s="26">
        <v>76276947</v>
      </c>
      <c r="L6" s="26">
        <v>77306601</v>
      </c>
      <c r="M6" s="26">
        <v>79748037</v>
      </c>
      <c r="N6" s="26">
        <v>84129130</v>
      </c>
    </row>
    <row r="7" spans="1:14" x14ac:dyDescent="0.25">
      <c r="A7" s="64"/>
      <c r="B7" s="25" t="s">
        <v>15</v>
      </c>
      <c r="C7" s="26">
        <v>0</v>
      </c>
      <c r="D7" s="26">
        <v>0</v>
      </c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x14ac:dyDescent="0.25">
      <c r="A8" s="64"/>
      <c r="B8" s="25" t="s">
        <v>16</v>
      </c>
      <c r="C8" s="26">
        <v>113869</v>
      </c>
      <c r="D8" s="26">
        <v>127070</v>
      </c>
      <c r="E8" s="26">
        <v>116485</v>
      </c>
      <c r="F8" s="26">
        <v>71322</v>
      </c>
      <c r="G8" s="26">
        <v>42799</v>
      </c>
      <c r="H8" s="26">
        <v>31313</v>
      </c>
      <c r="I8" s="26">
        <v>34627</v>
      </c>
      <c r="J8" s="26">
        <v>29129</v>
      </c>
      <c r="K8" s="26">
        <v>33832</v>
      </c>
      <c r="L8" s="26">
        <v>65930</v>
      </c>
      <c r="M8" s="26">
        <v>88929</v>
      </c>
      <c r="N8" s="26">
        <v>111313</v>
      </c>
    </row>
    <row r="9" spans="1:14" x14ac:dyDescent="0.25">
      <c r="A9" s="64"/>
      <c r="B9" s="25" t="s">
        <v>17</v>
      </c>
      <c r="C9" s="26">
        <v>807</v>
      </c>
      <c r="D9" s="26">
        <v>677</v>
      </c>
      <c r="E9" s="26">
        <v>454</v>
      </c>
      <c r="F9" s="26">
        <v>342</v>
      </c>
      <c r="G9" s="26">
        <v>330</v>
      </c>
      <c r="H9" s="26">
        <v>205</v>
      </c>
      <c r="I9" s="26">
        <v>241</v>
      </c>
      <c r="J9" s="26">
        <v>241</v>
      </c>
      <c r="K9" s="26">
        <v>277</v>
      </c>
      <c r="L9" s="26">
        <v>382</v>
      </c>
      <c r="M9" s="26">
        <v>483</v>
      </c>
      <c r="N9" s="26">
        <v>796</v>
      </c>
    </row>
    <row r="10" spans="1:14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1:14" x14ac:dyDescent="0.25">
      <c r="A11" s="64"/>
      <c r="B11" s="3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>
        <v>7770</v>
      </c>
      <c r="N11" s="26">
        <v>4890</v>
      </c>
    </row>
    <row r="12" spans="1:14" x14ac:dyDescent="0.25">
      <c r="A12" s="63" t="s">
        <v>37</v>
      </c>
      <c r="B12" s="27"/>
      <c r="C12" s="28"/>
      <c r="D12" s="28"/>
      <c r="E12" s="28"/>
      <c r="F12" s="28"/>
      <c r="G12" s="28"/>
      <c r="H12" s="28"/>
      <c r="I12" s="52"/>
      <c r="J12" s="28"/>
      <c r="K12" s="28"/>
      <c r="L12" s="28"/>
      <c r="M12" s="28"/>
      <c r="N12" s="29"/>
    </row>
    <row r="13" spans="1:14" x14ac:dyDescent="0.25">
      <c r="A13" s="6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A14" s="64"/>
      <c r="B14" s="25" t="s">
        <v>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64"/>
      <c r="B15" s="25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x14ac:dyDescent="0.25">
      <c r="A16" s="64"/>
      <c r="B16" s="25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64"/>
      <c r="B17" s="25" t="s">
        <v>17</v>
      </c>
      <c r="C17" s="26">
        <v>614</v>
      </c>
      <c r="D17" s="26">
        <v>555</v>
      </c>
      <c r="E17" s="26">
        <v>614</v>
      </c>
      <c r="F17" s="26">
        <v>594</v>
      </c>
      <c r="G17" s="26">
        <v>614</v>
      </c>
      <c r="H17" s="26">
        <v>594</v>
      </c>
      <c r="I17" s="26">
        <v>614</v>
      </c>
      <c r="J17" s="26">
        <v>614</v>
      </c>
      <c r="K17" s="26">
        <v>594</v>
      </c>
      <c r="L17" s="26">
        <v>614</v>
      </c>
      <c r="M17" s="26">
        <v>594</v>
      </c>
      <c r="N17" s="26">
        <v>614</v>
      </c>
    </row>
    <row r="18" spans="1:14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4" x14ac:dyDescent="0.25">
      <c r="A19" s="64"/>
      <c r="B19" s="3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63" t="s">
        <v>38</v>
      </c>
      <c r="B20" s="27"/>
      <c r="C20" s="28"/>
      <c r="D20" s="28"/>
      <c r="E20" s="28"/>
      <c r="F20" s="28"/>
      <c r="G20" s="28"/>
      <c r="H20" s="36"/>
      <c r="I20" s="36"/>
      <c r="J20" s="28"/>
      <c r="K20" s="28"/>
      <c r="L20" s="28"/>
      <c r="M20" s="28"/>
      <c r="N20" s="29"/>
    </row>
    <row r="21" spans="1:14" x14ac:dyDescent="0.25">
      <c r="A21" s="64"/>
      <c r="B21" s="25" t="s">
        <v>19</v>
      </c>
      <c r="C21" s="26"/>
      <c r="D21" s="26"/>
      <c r="E21" s="26"/>
      <c r="F21" s="26"/>
      <c r="G21" s="26"/>
      <c r="H21" s="35"/>
      <c r="I21" s="35"/>
      <c r="J21" s="26"/>
      <c r="K21" s="26"/>
      <c r="L21" s="26"/>
      <c r="M21" s="26"/>
      <c r="N21" s="26"/>
    </row>
    <row r="22" spans="1:14" x14ac:dyDescent="0.25">
      <c r="A22" s="64"/>
      <c r="B22" s="25" t="s">
        <v>14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64"/>
      <c r="B23" s="25" t="s">
        <v>15</v>
      </c>
      <c r="C23" s="26">
        <v>41745</v>
      </c>
      <c r="D23" s="26">
        <v>17305</v>
      </c>
      <c r="E23" s="26">
        <v>11100</v>
      </c>
      <c r="F23" s="26">
        <v>16785</v>
      </c>
      <c r="G23" s="26">
        <v>8535</v>
      </c>
      <c r="H23" s="26">
        <v>13375</v>
      </c>
      <c r="I23" s="26">
        <v>6810</v>
      </c>
      <c r="J23" s="26">
        <v>8605</v>
      </c>
      <c r="K23" s="26">
        <v>18705</v>
      </c>
      <c r="L23" s="26">
        <v>31310</v>
      </c>
      <c r="M23" s="26">
        <v>28310</v>
      </c>
      <c r="N23" s="26">
        <v>37875</v>
      </c>
    </row>
    <row r="24" spans="1:14" x14ac:dyDescent="0.25">
      <c r="A24" s="64"/>
      <c r="B24" s="25" t="s">
        <v>16</v>
      </c>
      <c r="C24" s="26">
        <v>380326</v>
      </c>
      <c r="D24" s="26">
        <v>363631</v>
      </c>
      <c r="E24" s="26">
        <v>340924</v>
      </c>
      <c r="F24" s="26">
        <v>288887</v>
      </c>
      <c r="G24" s="26">
        <v>278122</v>
      </c>
      <c r="H24" s="26">
        <v>280047</v>
      </c>
      <c r="I24" s="26">
        <v>272028</v>
      </c>
      <c r="J24" s="26">
        <v>293193</v>
      </c>
      <c r="K24" s="26">
        <v>318681</v>
      </c>
      <c r="L24" s="26">
        <v>370919</v>
      </c>
      <c r="M24" s="26">
        <v>389206</v>
      </c>
      <c r="N24" s="26">
        <v>464251</v>
      </c>
    </row>
    <row r="25" spans="1:14" x14ac:dyDescent="0.25">
      <c r="A25" s="64"/>
      <c r="B25" s="25" t="s">
        <v>17</v>
      </c>
      <c r="C25" s="26">
        <v>35920</v>
      </c>
      <c r="D25" s="26">
        <v>51225</v>
      </c>
      <c r="E25" s="26">
        <v>10744</v>
      </c>
      <c r="F25" s="26">
        <v>20459</v>
      </c>
      <c r="G25" s="26">
        <v>20820</v>
      </c>
      <c r="H25" s="26">
        <v>17612</v>
      </c>
      <c r="I25" s="26">
        <v>19519</v>
      </c>
      <c r="J25" s="26">
        <v>21284</v>
      </c>
      <c r="K25" s="26">
        <v>21039</v>
      </c>
      <c r="L25" s="26">
        <v>30456</v>
      </c>
      <c r="M25" s="26">
        <v>34813</v>
      </c>
      <c r="N25" s="26">
        <v>40842</v>
      </c>
    </row>
    <row r="26" spans="1:14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25">
      <c r="A27" s="64"/>
      <c r="B27" s="30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4" x14ac:dyDescent="0.25">
      <c r="A29" s="64"/>
      <c r="B29" s="15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64"/>
      <c r="B30" s="15" t="s">
        <v>14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64"/>
      <c r="B31" s="15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64"/>
      <c r="B32" s="15" t="s">
        <v>16</v>
      </c>
      <c r="C32" s="16">
        <v>202711</v>
      </c>
      <c r="D32" s="16">
        <v>184516</v>
      </c>
      <c r="E32" s="16">
        <v>167902</v>
      </c>
      <c r="F32" s="16">
        <v>116834</v>
      </c>
      <c r="G32" s="16">
        <v>109115</v>
      </c>
      <c r="H32" s="3">
        <v>100394</v>
      </c>
      <c r="I32" s="16">
        <v>81180</v>
      </c>
      <c r="J32" s="16">
        <v>57654</v>
      </c>
      <c r="K32" s="16">
        <v>73028</v>
      </c>
      <c r="L32" s="16">
        <v>135540</v>
      </c>
      <c r="M32" s="16">
        <v>170921</v>
      </c>
      <c r="N32" s="16">
        <v>207313</v>
      </c>
    </row>
    <row r="33" spans="1:14" x14ac:dyDescent="0.25">
      <c r="A33" s="64"/>
      <c r="B33" s="15" t="s">
        <v>17</v>
      </c>
      <c r="C33" s="16">
        <v>22901</v>
      </c>
      <c r="D33" s="16">
        <v>16662</v>
      </c>
      <c r="E33" s="16">
        <v>14987</v>
      </c>
      <c r="F33" s="16">
        <v>13432</v>
      </c>
      <c r="G33" s="16">
        <v>8716</v>
      </c>
      <c r="H33" s="3">
        <v>14554</v>
      </c>
      <c r="I33" s="16">
        <v>14211</v>
      </c>
      <c r="J33" s="16">
        <v>15764</v>
      </c>
      <c r="K33" s="16">
        <v>14199</v>
      </c>
      <c r="L33" s="16">
        <v>13350</v>
      </c>
      <c r="M33" s="16">
        <v>17214</v>
      </c>
      <c r="N33" s="16">
        <v>22496</v>
      </c>
    </row>
    <row r="34" spans="1:14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4" x14ac:dyDescent="0.25">
      <c r="A35" s="64"/>
      <c r="B35" s="18"/>
      <c r="C35" s="16">
        <v>4576</v>
      </c>
      <c r="D35" s="16">
        <v>4204</v>
      </c>
      <c r="E35" s="16">
        <v>3623</v>
      </c>
      <c r="F35" s="16">
        <v>3262</v>
      </c>
      <c r="G35" s="16">
        <v>2677</v>
      </c>
      <c r="H35" s="16">
        <v>1742</v>
      </c>
      <c r="I35" s="16">
        <v>1143</v>
      </c>
      <c r="J35" s="16">
        <v>1249</v>
      </c>
      <c r="K35" s="16">
        <v>2317</v>
      </c>
      <c r="L35" s="16">
        <v>3071</v>
      </c>
      <c r="M35" s="16">
        <v>3939</v>
      </c>
      <c r="N35" s="16">
        <v>3813</v>
      </c>
    </row>
    <row r="36" spans="1:14" x14ac:dyDescent="0.25">
      <c r="A36" s="63" t="s">
        <v>32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</row>
    <row r="37" spans="1:14" x14ac:dyDescent="0.25">
      <c r="A37" s="64"/>
      <c r="B37" s="15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5">
      <c r="A38" s="64"/>
      <c r="B38" s="15" t="s">
        <v>14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64"/>
      <c r="B39" s="15" t="s">
        <v>15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64"/>
      <c r="B40" s="15" t="s">
        <v>16</v>
      </c>
      <c r="C40" s="16"/>
      <c r="D40" s="16"/>
      <c r="E40" s="16"/>
      <c r="F40" s="16"/>
      <c r="G40" s="16"/>
      <c r="H40" s="3"/>
      <c r="I40" s="16"/>
      <c r="J40" s="16"/>
      <c r="K40" s="16"/>
      <c r="L40" s="16"/>
      <c r="M40" s="16"/>
      <c r="N40" s="16"/>
    </row>
    <row r="41" spans="1:14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</row>
    <row r="43" spans="1:14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70" t="s">
        <v>18</v>
      </c>
      <c r="B44" s="71"/>
      <c r="C44" s="31">
        <f>SUM(C5:C9,C11,C13:C17,C19,C21:C25,C27,C29:C33,,C37:C41,C35,C43)</f>
        <v>82731474</v>
      </c>
      <c r="D44" s="31">
        <f t="shared" ref="D44:N44" si="0">SUM(D5:D9,D11,D13:D17,D19,D21:D25,D27,D29:D33,,D37:D41,D35,D43)</f>
        <v>68229963</v>
      </c>
      <c r="E44" s="31">
        <f t="shared" si="0"/>
        <v>78372471</v>
      </c>
      <c r="F44" s="31">
        <f t="shared" si="0"/>
        <v>73828660</v>
      </c>
      <c r="G44" s="31">
        <f t="shared" si="0"/>
        <v>77535070</v>
      </c>
      <c r="H44" s="31">
        <f t="shared" si="0"/>
        <v>73242928</v>
      </c>
      <c r="I44" s="31">
        <f t="shared" si="0"/>
        <v>67573291</v>
      </c>
      <c r="J44" s="31">
        <f t="shared" si="0"/>
        <v>77852575</v>
      </c>
      <c r="K44" s="31">
        <f t="shared" si="0"/>
        <v>76832238</v>
      </c>
      <c r="L44" s="31">
        <f t="shared" si="0"/>
        <v>78062398</v>
      </c>
      <c r="M44" s="31">
        <f t="shared" si="0"/>
        <v>80666167</v>
      </c>
      <c r="N44" s="31">
        <f t="shared" si="0"/>
        <v>85632790</v>
      </c>
    </row>
    <row r="45" spans="1:14" x14ac:dyDescent="0.25">
      <c r="C45" s="32"/>
      <c r="D45" s="32"/>
    </row>
    <row r="46" spans="1:14" x14ac:dyDescent="0.25">
      <c r="E46" s="32"/>
      <c r="G46" s="32"/>
    </row>
    <row r="47" spans="1:14" x14ac:dyDescent="0.25">
      <c r="D47" s="32"/>
      <c r="J47" s="32"/>
      <c r="N47" s="32"/>
    </row>
    <row r="48" spans="1:14" x14ac:dyDescent="0.25">
      <c r="G48" s="33"/>
      <c r="H48" s="32"/>
      <c r="L48" s="32"/>
      <c r="M48" s="32"/>
    </row>
    <row r="49" spans="7:7" x14ac:dyDescent="0.25">
      <c r="G49" s="34"/>
    </row>
    <row r="51" spans="7:7" x14ac:dyDescent="0.25">
      <c r="G51" s="33"/>
    </row>
    <row r="52" spans="7:7" x14ac:dyDescent="0.25">
      <c r="G52" s="33"/>
    </row>
  </sheetData>
  <mergeCells count="15">
    <mergeCell ref="A2:N2"/>
    <mergeCell ref="A4:A11"/>
    <mergeCell ref="B4:N4"/>
    <mergeCell ref="C10:N10"/>
    <mergeCell ref="A12:A19"/>
    <mergeCell ref="C18:N18"/>
    <mergeCell ref="A44:B44"/>
    <mergeCell ref="A20:A27"/>
    <mergeCell ref="C26:N26"/>
    <mergeCell ref="A28:A35"/>
    <mergeCell ref="B28:N28"/>
    <mergeCell ref="C34:N34"/>
    <mergeCell ref="A36:A43"/>
    <mergeCell ref="B36:N36"/>
    <mergeCell ref="C42:N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F1" zoomScale="85" zoomScaleNormal="85" workbookViewId="0">
      <selection activeCell="S18" sqref="S18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14" width="18.7109375" style="21" customWidth="1"/>
    <col min="15" max="15" width="9.140625" style="45"/>
    <col min="16" max="16384" width="9.140625" style="21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62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42.75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63" t="s">
        <v>41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64"/>
      <c r="B5" s="25" t="s">
        <v>19</v>
      </c>
      <c r="C5" s="26">
        <v>649744</v>
      </c>
      <c r="D5" s="26">
        <v>575167</v>
      </c>
      <c r="E5" s="26">
        <v>429858</v>
      </c>
      <c r="F5" s="26">
        <v>305297</v>
      </c>
      <c r="G5" s="26">
        <v>264228</v>
      </c>
      <c r="H5" s="26">
        <v>91458</v>
      </c>
      <c r="I5" s="26">
        <v>110658</v>
      </c>
      <c r="J5" s="26">
        <v>134057</v>
      </c>
      <c r="K5" s="26">
        <v>135553</v>
      </c>
      <c r="L5" s="26">
        <v>170281</v>
      </c>
      <c r="M5" s="26">
        <v>241665</v>
      </c>
      <c r="N5" s="26">
        <v>362945</v>
      </c>
    </row>
    <row r="6" spans="1:14" x14ac:dyDescent="0.25">
      <c r="A6" s="64"/>
      <c r="B6" s="25" t="s">
        <v>14</v>
      </c>
      <c r="C6" s="26">
        <v>77133544</v>
      </c>
      <c r="D6" s="26">
        <v>71509019</v>
      </c>
      <c r="E6" s="26">
        <v>78376027</v>
      </c>
      <c r="F6" s="26">
        <v>73933113</v>
      </c>
      <c r="G6" s="26">
        <v>75614032</v>
      </c>
      <c r="H6" s="26">
        <v>74395469</v>
      </c>
      <c r="I6" s="26">
        <v>76286410</v>
      </c>
      <c r="J6" s="26">
        <v>74916221</v>
      </c>
      <c r="K6" s="26">
        <v>70542065</v>
      </c>
      <c r="L6" s="26">
        <v>76668236</v>
      </c>
      <c r="M6" s="26">
        <v>75817614</v>
      </c>
      <c r="N6" s="26">
        <v>81611904</v>
      </c>
    </row>
    <row r="7" spans="1:14" x14ac:dyDescent="0.25">
      <c r="A7" s="64"/>
      <c r="B7" s="25" t="s">
        <v>15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x14ac:dyDescent="0.25">
      <c r="A8" s="64"/>
      <c r="B8" s="25" t="s">
        <v>16</v>
      </c>
      <c r="C8" s="26">
        <v>90039</v>
      </c>
      <c r="D8" s="26">
        <v>127581</v>
      </c>
      <c r="E8" s="26">
        <v>130752</v>
      </c>
      <c r="F8" s="26">
        <v>43764</v>
      </c>
      <c r="G8" s="26">
        <v>42291</v>
      </c>
      <c r="H8" s="26">
        <v>32820</v>
      </c>
      <c r="I8" s="26">
        <v>38578</v>
      </c>
      <c r="J8" s="26">
        <v>35109</v>
      </c>
      <c r="K8" s="26">
        <v>66521</v>
      </c>
      <c r="L8" s="26">
        <v>152365</v>
      </c>
      <c r="M8" s="26">
        <v>134259</v>
      </c>
      <c r="N8" s="26">
        <v>115798</v>
      </c>
    </row>
    <row r="9" spans="1:14" x14ac:dyDescent="0.25">
      <c r="A9" s="64"/>
      <c r="B9" s="25" t="s">
        <v>17</v>
      </c>
      <c r="C9" s="26">
        <v>1024</v>
      </c>
      <c r="D9" s="26">
        <v>781</v>
      </c>
      <c r="E9" s="26">
        <v>208</v>
      </c>
      <c r="F9" s="26">
        <v>167</v>
      </c>
      <c r="G9" s="26">
        <v>249</v>
      </c>
      <c r="H9" s="26">
        <v>229</v>
      </c>
      <c r="I9" s="26">
        <v>267</v>
      </c>
      <c r="J9" s="26">
        <v>285</v>
      </c>
      <c r="K9" s="26">
        <v>194</v>
      </c>
      <c r="L9" s="26">
        <v>23000</v>
      </c>
      <c r="M9" s="26">
        <v>28544</v>
      </c>
      <c r="N9" s="26">
        <v>32086</v>
      </c>
    </row>
    <row r="10" spans="1:14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1:14" x14ac:dyDescent="0.25">
      <c r="A11" s="64"/>
      <c r="B11" s="30"/>
      <c r="C11" s="26">
        <v>7770</v>
      </c>
      <c r="D11" s="26">
        <v>7500</v>
      </c>
      <c r="E11" s="26">
        <v>4710</v>
      </c>
      <c r="F11" s="26">
        <v>3840</v>
      </c>
      <c r="G11" s="26">
        <v>3150</v>
      </c>
      <c r="H11" s="26">
        <v>750</v>
      </c>
      <c r="I11" s="26">
        <v>1470</v>
      </c>
      <c r="J11" s="26">
        <v>0</v>
      </c>
      <c r="K11" s="26">
        <v>450</v>
      </c>
      <c r="L11" s="26">
        <v>1080</v>
      </c>
      <c r="M11" s="26">
        <v>4590</v>
      </c>
      <c r="N11" s="26">
        <v>4800</v>
      </c>
    </row>
    <row r="12" spans="1:14" x14ac:dyDescent="0.25">
      <c r="A12" s="63" t="s">
        <v>37</v>
      </c>
      <c r="B12" s="27"/>
      <c r="C12" s="28"/>
      <c r="D12" s="28"/>
      <c r="E12" s="28"/>
      <c r="F12" s="28"/>
      <c r="G12" s="28"/>
      <c r="H12" s="28"/>
      <c r="I12" s="53"/>
      <c r="J12" s="28"/>
      <c r="K12" s="28"/>
      <c r="L12" s="28"/>
      <c r="M12" s="28"/>
      <c r="N12" s="29"/>
    </row>
    <row r="13" spans="1:14" x14ac:dyDescent="0.25">
      <c r="A13" s="6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A14" s="64"/>
      <c r="B14" s="25" t="s">
        <v>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64"/>
      <c r="B15" s="25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x14ac:dyDescent="0.25">
      <c r="A16" s="64"/>
      <c r="B16" s="25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64"/>
      <c r="B17" s="25" t="s">
        <v>17</v>
      </c>
      <c r="C17" s="26">
        <v>614</v>
      </c>
      <c r="D17" s="26">
        <v>574</v>
      </c>
      <c r="E17" s="26">
        <v>614</v>
      </c>
      <c r="F17" s="26">
        <v>594</v>
      </c>
      <c r="G17" s="26">
        <v>614</v>
      </c>
      <c r="H17" s="26">
        <v>614</v>
      </c>
      <c r="I17" s="26">
        <v>614</v>
      </c>
      <c r="J17" s="26">
        <v>614</v>
      </c>
      <c r="K17" s="26">
        <v>594</v>
      </c>
      <c r="L17" s="26">
        <v>614</v>
      </c>
      <c r="M17" s="26">
        <v>594</v>
      </c>
      <c r="N17" s="26">
        <v>614</v>
      </c>
    </row>
    <row r="18" spans="1:14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4" x14ac:dyDescent="0.25">
      <c r="A19" s="64"/>
      <c r="B19" s="3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63" t="s">
        <v>38</v>
      </c>
      <c r="B20" s="27"/>
      <c r="C20" s="28"/>
      <c r="D20" s="28"/>
      <c r="E20" s="28"/>
      <c r="F20" s="28"/>
      <c r="G20" s="28"/>
      <c r="H20" s="36"/>
      <c r="I20" s="36"/>
      <c r="J20" s="28"/>
      <c r="K20" s="28"/>
      <c r="L20" s="28"/>
      <c r="M20" s="28"/>
      <c r="N20" s="29"/>
    </row>
    <row r="21" spans="1:14" x14ac:dyDescent="0.25">
      <c r="A21" s="64"/>
      <c r="B21" s="25" t="s">
        <v>19</v>
      </c>
      <c r="C21" s="26"/>
      <c r="D21" s="26"/>
      <c r="E21" s="26"/>
      <c r="F21" s="26"/>
      <c r="G21" s="26"/>
      <c r="H21" s="35"/>
      <c r="I21" s="35"/>
      <c r="J21" s="26"/>
      <c r="K21" s="26"/>
      <c r="L21" s="26"/>
      <c r="M21" s="26"/>
      <c r="N21" s="26"/>
    </row>
    <row r="22" spans="1:14" x14ac:dyDescent="0.25">
      <c r="A22" s="64"/>
      <c r="B22" s="25" t="s">
        <v>14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64"/>
      <c r="B23" s="25" t="s">
        <v>15</v>
      </c>
      <c r="C23" s="26">
        <v>95990</v>
      </c>
      <c r="D23" s="26">
        <v>26940</v>
      </c>
      <c r="E23" s="26">
        <v>13820</v>
      </c>
      <c r="F23" s="26">
        <v>17185</v>
      </c>
      <c r="G23" s="26">
        <v>24270</v>
      </c>
      <c r="H23" s="26">
        <v>24270</v>
      </c>
      <c r="I23" s="26">
        <v>7765</v>
      </c>
      <c r="J23" s="26">
        <v>7425.0000000029104</v>
      </c>
      <c r="K23" s="26">
        <v>10239.999999998872</v>
      </c>
      <c r="L23" s="26">
        <v>39155</v>
      </c>
      <c r="M23" s="26">
        <v>36439.999999997781</v>
      </c>
      <c r="N23" s="26">
        <v>34569.999999998799</v>
      </c>
    </row>
    <row r="24" spans="1:14" x14ac:dyDescent="0.25">
      <c r="A24" s="64"/>
      <c r="B24" s="25" t="s">
        <v>16</v>
      </c>
      <c r="C24" s="26">
        <v>484537</v>
      </c>
      <c r="D24" s="26">
        <v>477323</v>
      </c>
      <c r="E24" s="26">
        <v>399328</v>
      </c>
      <c r="F24" s="26">
        <v>343789</v>
      </c>
      <c r="G24" s="26">
        <v>326720</v>
      </c>
      <c r="H24" s="26">
        <v>302744</v>
      </c>
      <c r="I24" s="26">
        <v>287341</v>
      </c>
      <c r="J24" s="26">
        <v>268301</v>
      </c>
      <c r="K24" s="26">
        <v>277245</v>
      </c>
      <c r="L24" s="26">
        <v>356523</v>
      </c>
      <c r="M24" s="26">
        <v>376101</v>
      </c>
      <c r="N24" s="26">
        <v>424217</v>
      </c>
    </row>
    <row r="25" spans="1:14" x14ac:dyDescent="0.25">
      <c r="A25" s="64"/>
      <c r="B25" s="25" t="s">
        <v>17</v>
      </c>
      <c r="C25" s="26">
        <v>44367</v>
      </c>
      <c r="D25" s="26">
        <v>37368</v>
      </c>
      <c r="E25" s="26">
        <v>32716</v>
      </c>
      <c r="F25" s="26">
        <v>23814</v>
      </c>
      <c r="G25" s="26">
        <v>21429</v>
      </c>
      <c r="H25" s="26">
        <v>18401</v>
      </c>
      <c r="I25" s="26">
        <v>19720</v>
      </c>
      <c r="J25" s="26">
        <v>17970</v>
      </c>
      <c r="K25" s="26">
        <v>20526</v>
      </c>
      <c r="L25" s="26">
        <v>27385</v>
      </c>
      <c r="M25" s="26">
        <v>39327</v>
      </c>
      <c r="N25" s="26">
        <v>43458</v>
      </c>
    </row>
    <row r="26" spans="1:14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25">
      <c r="A27" s="64"/>
      <c r="B27" s="30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4" x14ac:dyDescent="0.25">
      <c r="A29" s="64"/>
      <c r="B29" s="15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64"/>
      <c r="B30" s="15" t="s">
        <v>14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64"/>
      <c r="B31" s="15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64"/>
      <c r="B32" s="15" t="s">
        <v>16</v>
      </c>
      <c r="C32" s="16">
        <v>208040</v>
      </c>
      <c r="D32" s="16">
        <v>194439</v>
      </c>
      <c r="E32" s="16">
        <v>160936</v>
      </c>
      <c r="F32" s="16">
        <v>149308</v>
      </c>
      <c r="G32" s="16">
        <v>119803</v>
      </c>
      <c r="H32" s="3">
        <v>66708</v>
      </c>
      <c r="I32" s="16">
        <v>75523</v>
      </c>
      <c r="J32" s="16">
        <v>93958</v>
      </c>
      <c r="K32" s="16">
        <v>79149</v>
      </c>
      <c r="L32" s="16">
        <v>149063</v>
      </c>
      <c r="M32" s="16">
        <v>180214</v>
      </c>
      <c r="N32" s="16">
        <v>206916</v>
      </c>
    </row>
    <row r="33" spans="1:14" x14ac:dyDescent="0.25">
      <c r="A33" s="64"/>
      <c r="B33" s="15" t="s">
        <v>17</v>
      </c>
      <c r="C33" s="16">
        <v>26058</v>
      </c>
      <c r="D33" s="16">
        <v>21627</v>
      </c>
      <c r="E33" s="16">
        <v>21349</v>
      </c>
      <c r="F33" s="16">
        <v>18258</v>
      </c>
      <c r="G33" s="16">
        <v>14780</v>
      </c>
      <c r="H33" s="3">
        <v>10169</v>
      </c>
      <c r="I33" s="16">
        <v>11144</v>
      </c>
      <c r="J33" s="16">
        <v>9170</v>
      </c>
      <c r="K33" s="16">
        <v>9792</v>
      </c>
      <c r="L33" s="16">
        <v>16223</v>
      </c>
      <c r="M33" s="16">
        <v>19453</v>
      </c>
      <c r="N33" s="16">
        <v>21896</v>
      </c>
    </row>
    <row r="34" spans="1:14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4" x14ac:dyDescent="0.25">
      <c r="A35" s="64"/>
      <c r="B35" s="18"/>
      <c r="C35" s="16">
        <v>3760</v>
      </c>
      <c r="D35" s="16">
        <v>5277</v>
      </c>
      <c r="E35" s="16">
        <v>4115</v>
      </c>
      <c r="F35" s="16">
        <v>4925</v>
      </c>
      <c r="G35" s="16">
        <v>3341</v>
      </c>
      <c r="H35" s="16">
        <v>4067</v>
      </c>
      <c r="I35" s="16">
        <v>3550</v>
      </c>
      <c r="J35" s="16">
        <v>3233</v>
      </c>
      <c r="K35" s="16">
        <v>3873</v>
      </c>
      <c r="L35" s="16">
        <v>2614</v>
      </c>
      <c r="M35" s="16">
        <v>3499</v>
      </c>
      <c r="N35" s="16">
        <v>3988</v>
      </c>
    </row>
    <row r="36" spans="1:14" x14ac:dyDescent="0.25">
      <c r="A36" s="63" t="s">
        <v>32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</row>
    <row r="37" spans="1:14" x14ac:dyDescent="0.25">
      <c r="A37" s="64"/>
      <c r="B37" s="15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5">
      <c r="A38" s="64"/>
      <c r="B38" s="15" t="s">
        <v>14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64"/>
      <c r="B39" s="15" t="s">
        <v>15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64"/>
      <c r="B40" s="15" t="s">
        <v>16</v>
      </c>
      <c r="C40" s="16"/>
      <c r="D40" s="16"/>
      <c r="E40" s="16"/>
      <c r="F40" s="16"/>
      <c r="G40" s="16"/>
      <c r="H40" s="3"/>
      <c r="I40" s="16"/>
      <c r="J40" s="16"/>
      <c r="K40" s="16"/>
      <c r="L40" s="16"/>
      <c r="M40" s="16"/>
      <c r="N40" s="16"/>
    </row>
    <row r="41" spans="1:14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</row>
    <row r="43" spans="1:14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70" t="s">
        <v>18</v>
      </c>
      <c r="B44" s="71"/>
      <c r="C44" s="31">
        <f>SUM(C5:C9,C11,C13:C17,C19,C21:C25,C27,C29:C33,,C37:C41,C35,C43)</f>
        <v>78745487</v>
      </c>
      <c r="D44" s="31">
        <f t="shared" ref="D44:N44" si="0">SUM(D5:D9,D11,D13:D17,D19,D21:D25,D27,D29:D33,,D37:D41,D35,D43)</f>
        <v>72983596</v>
      </c>
      <c r="E44" s="31">
        <f t="shared" si="0"/>
        <v>79574433</v>
      </c>
      <c r="F44" s="31">
        <f t="shared" si="0"/>
        <v>74844054</v>
      </c>
      <c r="G44" s="31">
        <f t="shared" si="0"/>
        <v>76434907</v>
      </c>
      <c r="H44" s="31">
        <f t="shared" si="0"/>
        <v>74947699</v>
      </c>
      <c r="I44" s="31">
        <f t="shared" si="0"/>
        <v>76843040</v>
      </c>
      <c r="J44" s="31">
        <f t="shared" si="0"/>
        <v>75486343</v>
      </c>
      <c r="K44" s="31">
        <f t="shared" si="0"/>
        <v>71146202</v>
      </c>
      <c r="L44" s="31">
        <f t="shared" si="0"/>
        <v>77606539</v>
      </c>
      <c r="M44" s="31">
        <f t="shared" si="0"/>
        <v>76882300</v>
      </c>
      <c r="N44" s="31">
        <f t="shared" si="0"/>
        <v>82863192</v>
      </c>
    </row>
    <row r="45" spans="1:14" x14ac:dyDescent="0.25">
      <c r="C45" s="32"/>
      <c r="D45" s="32"/>
    </row>
    <row r="46" spans="1:14" x14ac:dyDescent="0.25">
      <c r="E46" s="32"/>
      <c r="G46" s="32"/>
    </row>
    <row r="47" spans="1:14" x14ac:dyDescent="0.25">
      <c r="D47" s="32"/>
      <c r="J47" s="32"/>
      <c r="N47" s="32"/>
    </row>
    <row r="48" spans="1:14" x14ac:dyDescent="0.25">
      <c r="G48" s="33"/>
      <c r="H48" s="32"/>
      <c r="L48" s="32"/>
      <c r="M48" s="32"/>
    </row>
    <row r="49" spans="7:7" x14ac:dyDescent="0.25">
      <c r="G49" s="34"/>
    </row>
    <row r="51" spans="7:7" x14ac:dyDescent="0.25">
      <c r="G51" s="33"/>
    </row>
    <row r="52" spans="7:7" x14ac:dyDescent="0.25">
      <c r="G52" s="33"/>
    </row>
  </sheetData>
  <mergeCells count="15">
    <mergeCell ref="A2:N2"/>
    <mergeCell ref="A4:A11"/>
    <mergeCell ref="B4:N4"/>
    <mergeCell ref="C10:N10"/>
    <mergeCell ref="A12:A19"/>
    <mergeCell ref="C18:N18"/>
    <mergeCell ref="A44:B44"/>
    <mergeCell ref="A20:A27"/>
    <mergeCell ref="C26:N26"/>
    <mergeCell ref="A28:A35"/>
    <mergeCell ref="B28:N28"/>
    <mergeCell ref="C34:N34"/>
    <mergeCell ref="A36:A43"/>
    <mergeCell ref="B36:N36"/>
    <mergeCell ref="C42:N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A13" zoomScale="90" zoomScaleNormal="90" workbookViewId="0">
      <selection activeCell="A12" sqref="A12:A2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54" t="s">
        <v>22</v>
      </c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2.5" customHeight="1" x14ac:dyDescent="0.25">
      <c r="A5" s="55"/>
      <c r="B5" s="5" t="s">
        <v>19</v>
      </c>
      <c r="C5" s="3">
        <v>5942195</v>
      </c>
      <c r="D5" s="3">
        <v>5989399</v>
      </c>
      <c r="E5" s="3">
        <v>6560300</v>
      </c>
      <c r="F5" s="3">
        <v>6380749</v>
      </c>
      <c r="G5" s="3">
        <v>6201733</v>
      </c>
      <c r="H5" s="3">
        <v>64274113</v>
      </c>
      <c r="I5" s="3">
        <v>6622116</v>
      </c>
      <c r="J5" s="3">
        <v>5728766</v>
      </c>
      <c r="K5" s="3">
        <v>5716305</v>
      </c>
      <c r="L5" s="3">
        <v>5162584</v>
      </c>
      <c r="M5" s="3">
        <v>7444501</v>
      </c>
      <c r="N5" s="3">
        <v>7792854</v>
      </c>
    </row>
    <row r="6" spans="1:14" ht="22.5" customHeight="1" x14ac:dyDescent="0.25">
      <c r="A6" s="55"/>
      <c r="B6" s="5" t="s">
        <v>14</v>
      </c>
      <c r="C6" s="3">
        <v>76937096</v>
      </c>
      <c r="D6" s="3">
        <v>67411850</v>
      </c>
      <c r="E6" s="3">
        <v>75015224</v>
      </c>
      <c r="F6" s="3">
        <v>71442382</v>
      </c>
      <c r="G6" s="3">
        <v>69962270</v>
      </c>
      <c r="H6" s="3">
        <v>5400226</v>
      </c>
      <c r="I6" s="3">
        <v>65427759</v>
      </c>
      <c r="J6" s="3">
        <v>64507209</v>
      </c>
      <c r="K6" s="3">
        <v>65753350.999999993</v>
      </c>
      <c r="L6" s="3">
        <v>66362876.000000007</v>
      </c>
      <c r="M6" s="3">
        <v>71076379</v>
      </c>
      <c r="N6" s="3">
        <v>78222205</v>
      </c>
    </row>
    <row r="7" spans="1:14" ht="22.5" customHeight="1" x14ac:dyDescent="0.25">
      <c r="A7" s="55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55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55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55"/>
      <c r="B10" s="56" t="s">
        <v>21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ht="22.5" customHeight="1" x14ac:dyDescent="0.25">
      <c r="A11" s="55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54" t="s">
        <v>26</v>
      </c>
      <c r="B12" s="56" t="s">
        <v>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ht="22.5" customHeight="1" x14ac:dyDescent="0.25">
      <c r="A13" s="55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55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55"/>
      <c r="B15" s="5" t="s">
        <v>15</v>
      </c>
      <c r="C15" s="3">
        <v>22964</v>
      </c>
      <c r="D15" s="3">
        <v>8273</v>
      </c>
      <c r="E15" s="3">
        <v>16857</v>
      </c>
      <c r="F15" s="3">
        <v>8817</v>
      </c>
      <c r="G15" s="3">
        <v>6557</v>
      </c>
      <c r="H15" s="3">
        <v>3311</v>
      </c>
      <c r="I15" s="3">
        <v>2493</v>
      </c>
      <c r="J15" s="3">
        <v>1635</v>
      </c>
      <c r="K15" s="3">
        <v>4046.9999999999995</v>
      </c>
      <c r="L15" s="3">
        <v>13706</v>
      </c>
      <c r="M15" s="3">
        <v>20393</v>
      </c>
      <c r="N15" s="3">
        <v>33756</v>
      </c>
    </row>
    <row r="16" spans="1:14" ht="22.5" customHeight="1" x14ac:dyDescent="0.25">
      <c r="A16" s="55"/>
      <c r="B16" s="5" t="s">
        <v>16</v>
      </c>
      <c r="C16" s="3">
        <v>12277</v>
      </c>
      <c r="D16" s="3">
        <v>18275</v>
      </c>
      <c r="E16" s="3">
        <v>15490</v>
      </c>
      <c r="F16" s="3">
        <v>15364</v>
      </c>
      <c r="G16" s="3">
        <v>9711</v>
      </c>
      <c r="H16" s="3">
        <v>5331</v>
      </c>
      <c r="I16" s="3">
        <v>6538</v>
      </c>
      <c r="J16" s="3">
        <v>5548</v>
      </c>
      <c r="K16" s="3">
        <v>7749</v>
      </c>
      <c r="L16" s="3">
        <v>5736</v>
      </c>
      <c r="M16" s="3">
        <v>6866</v>
      </c>
      <c r="N16" s="3">
        <v>10709</v>
      </c>
    </row>
    <row r="17" spans="1:14" ht="22.5" customHeight="1" x14ac:dyDescent="0.25">
      <c r="A17" s="55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55"/>
      <c r="B18" s="56" t="s">
        <v>21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ht="22.5" customHeight="1" x14ac:dyDescent="0.25">
      <c r="A19" s="55"/>
      <c r="B19" s="4"/>
      <c r="C19" s="3">
        <v>6912</v>
      </c>
      <c r="D19" s="3">
        <v>6813</v>
      </c>
      <c r="E19" s="3">
        <v>7380</v>
      </c>
      <c r="F19" s="3">
        <v>4094.0000000000005</v>
      </c>
      <c r="G19" s="3">
        <v>5016.9999999999991</v>
      </c>
      <c r="H19" s="3">
        <v>6609</v>
      </c>
      <c r="I19" s="3">
        <v>6712</v>
      </c>
      <c r="J19" s="3">
        <v>6332</v>
      </c>
      <c r="K19" s="3">
        <v>7669</v>
      </c>
      <c r="L19" s="3">
        <v>7072</v>
      </c>
      <c r="M19" s="3">
        <v>5958</v>
      </c>
      <c r="N19" s="3">
        <v>6103</v>
      </c>
    </row>
    <row r="20" spans="1:14" ht="22.5" customHeight="1" x14ac:dyDescent="0.25">
      <c r="A20" s="54" t="s">
        <v>27</v>
      </c>
      <c r="B20" s="56" t="s">
        <v>20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ht="22.5" customHeight="1" x14ac:dyDescent="0.25">
      <c r="A21" s="55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55"/>
      <c r="B22" s="5" t="s">
        <v>14</v>
      </c>
      <c r="C22" s="3">
        <v>788683</v>
      </c>
      <c r="D22" s="3">
        <v>716586</v>
      </c>
      <c r="E22" s="3">
        <v>777820</v>
      </c>
      <c r="F22" s="3">
        <v>773232</v>
      </c>
      <c r="G22" s="3">
        <v>856096</v>
      </c>
      <c r="H22" s="3">
        <v>842185</v>
      </c>
      <c r="I22" s="3">
        <v>923429</v>
      </c>
      <c r="J22" s="3">
        <v>884090</v>
      </c>
      <c r="K22" s="3">
        <v>783887</v>
      </c>
      <c r="L22" s="3">
        <v>781464</v>
      </c>
      <c r="M22" s="3">
        <v>745035</v>
      </c>
      <c r="N22" s="3">
        <v>790214</v>
      </c>
    </row>
    <row r="23" spans="1:14" ht="22.5" customHeight="1" x14ac:dyDescent="0.25">
      <c r="A23" s="55"/>
      <c r="B23" s="5" t="s">
        <v>15</v>
      </c>
      <c r="C23" s="3">
        <v>87170</v>
      </c>
      <c r="D23" s="3">
        <v>78651</v>
      </c>
      <c r="E23" s="3">
        <v>52601</v>
      </c>
      <c r="F23" s="3">
        <v>22944</v>
      </c>
      <c r="G23" s="3">
        <v>12746</v>
      </c>
      <c r="H23" s="3">
        <v>5371</v>
      </c>
      <c r="I23" s="3">
        <v>7720</v>
      </c>
      <c r="J23" s="3">
        <v>7983</v>
      </c>
      <c r="K23" s="3">
        <v>12417</v>
      </c>
      <c r="L23" s="3">
        <v>25054</v>
      </c>
      <c r="M23" s="3">
        <v>58970</v>
      </c>
      <c r="N23" s="3">
        <v>84174</v>
      </c>
    </row>
    <row r="24" spans="1:14" ht="22.5" customHeight="1" x14ac:dyDescent="0.25">
      <c r="A24" s="55"/>
      <c r="B24" s="5" t="s">
        <v>16</v>
      </c>
      <c r="C24" s="3">
        <v>597737</v>
      </c>
      <c r="D24" s="3">
        <v>599283</v>
      </c>
      <c r="E24" s="3">
        <v>587085</v>
      </c>
      <c r="F24" s="3">
        <v>512735</v>
      </c>
      <c r="G24" s="3">
        <v>416172</v>
      </c>
      <c r="H24" s="3">
        <v>376935</v>
      </c>
      <c r="I24" s="3">
        <v>384570</v>
      </c>
      <c r="J24" s="3">
        <v>397296</v>
      </c>
      <c r="K24" s="3">
        <v>456763</v>
      </c>
      <c r="L24" s="3">
        <v>575447</v>
      </c>
      <c r="M24" s="3">
        <v>538435</v>
      </c>
      <c r="N24" s="3">
        <v>639805</v>
      </c>
    </row>
    <row r="25" spans="1:14" ht="22.5" customHeight="1" x14ac:dyDescent="0.25">
      <c r="A25" s="55"/>
      <c r="B25" s="5" t="s">
        <v>17</v>
      </c>
      <c r="C25" s="3">
        <v>236610</v>
      </c>
      <c r="D25" s="3">
        <v>225681</v>
      </c>
      <c r="E25" s="3">
        <v>210261</v>
      </c>
      <c r="F25" s="3">
        <v>190658</v>
      </c>
      <c r="G25" s="3">
        <v>169032</v>
      </c>
      <c r="H25" s="3">
        <v>168727</v>
      </c>
      <c r="I25" s="3">
        <v>177046</v>
      </c>
      <c r="J25" s="3">
        <v>170186</v>
      </c>
      <c r="K25" s="3">
        <v>165556</v>
      </c>
      <c r="L25" s="3">
        <v>193064</v>
      </c>
      <c r="M25" s="3">
        <v>208484</v>
      </c>
      <c r="N25" s="3">
        <v>226407</v>
      </c>
    </row>
    <row r="26" spans="1:14" ht="22.5" customHeight="1" x14ac:dyDescent="0.25">
      <c r="A26" s="55"/>
      <c r="B26" s="56" t="s">
        <v>21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</row>
    <row r="27" spans="1:14" ht="22.5" customHeight="1" x14ac:dyDescent="0.25">
      <c r="A27" s="55"/>
      <c r="B27" s="4"/>
      <c r="C27" s="3">
        <v>297839</v>
      </c>
      <c r="D27" s="3">
        <v>250171</v>
      </c>
      <c r="E27" s="3">
        <v>240849</v>
      </c>
      <c r="F27" s="3">
        <v>274304</v>
      </c>
      <c r="G27" s="3">
        <v>296611</v>
      </c>
      <c r="H27" s="3">
        <v>311566</v>
      </c>
      <c r="I27" s="3">
        <v>293104</v>
      </c>
      <c r="J27" s="3">
        <v>297950</v>
      </c>
      <c r="K27" s="3">
        <v>330087</v>
      </c>
      <c r="L27" s="3">
        <v>357481</v>
      </c>
      <c r="M27" s="3">
        <v>263810</v>
      </c>
      <c r="N27" s="3">
        <v>275890</v>
      </c>
    </row>
    <row r="28" spans="1:14" ht="22.5" customHeight="1" x14ac:dyDescent="0.25">
      <c r="A28" s="59" t="s">
        <v>18</v>
      </c>
      <c r="B28" s="60"/>
      <c r="C28" s="9">
        <f>SUM(C5:C9,C11,C13:C17,C19,C21:C25,C27)</f>
        <v>84929483</v>
      </c>
      <c r="D28" s="9">
        <f t="shared" ref="D28:N28" si="0">SUM(D5:D9,D11,D13:D17,D19,D21:D25,D27)</f>
        <v>75304982</v>
      </c>
      <c r="E28" s="9">
        <f t="shared" si="0"/>
        <v>83483867</v>
      </c>
      <c r="F28" s="9">
        <f t="shared" si="0"/>
        <v>79625279</v>
      </c>
      <c r="G28" s="9">
        <f t="shared" si="0"/>
        <v>77935945</v>
      </c>
      <c r="H28" s="9">
        <f t="shared" si="0"/>
        <v>71394374</v>
      </c>
      <c r="I28" s="9">
        <f t="shared" si="0"/>
        <v>73851487</v>
      </c>
      <c r="J28" s="9">
        <f t="shared" si="0"/>
        <v>72006995</v>
      </c>
      <c r="K28" s="9">
        <f t="shared" si="0"/>
        <v>73237831</v>
      </c>
      <c r="L28" s="9">
        <f t="shared" si="0"/>
        <v>73484484</v>
      </c>
      <c r="M28" s="9">
        <f t="shared" si="0"/>
        <v>80368831</v>
      </c>
      <c r="N28" s="9">
        <f t="shared" si="0"/>
        <v>88082117</v>
      </c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80" zoomScaleNormal="80"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1" spans="1:14" ht="22.5" customHeight="1" x14ac:dyDescent="0.25">
      <c r="D1" s="1">
        <v>1000</v>
      </c>
    </row>
    <row r="2" spans="1:14" ht="42.75" customHeight="1" x14ac:dyDescent="0.25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54" t="s">
        <v>22</v>
      </c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2.5" customHeight="1" x14ac:dyDescent="0.25">
      <c r="A5" s="55"/>
      <c r="B5" s="5" t="s">
        <v>19</v>
      </c>
      <c r="C5" s="3">
        <v>7023476</v>
      </c>
      <c r="D5" s="3">
        <v>6428399</v>
      </c>
      <c r="E5" s="3">
        <v>7956577</v>
      </c>
      <c r="F5" s="3">
        <v>7031245</v>
      </c>
      <c r="G5" s="3">
        <v>6157425</v>
      </c>
      <c r="H5" s="3">
        <v>6729321</v>
      </c>
      <c r="I5" s="3">
        <v>7298365</v>
      </c>
      <c r="J5" s="3">
        <v>6770747</v>
      </c>
      <c r="K5" s="3">
        <v>6702504</v>
      </c>
      <c r="L5" s="3">
        <v>7392029</v>
      </c>
      <c r="M5" s="3">
        <v>7714691</v>
      </c>
      <c r="N5" s="3">
        <v>8272338</v>
      </c>
    </row>
    <row r="6" spans="1:14" ht="22.5" customHeight="1" x14ac:dyDescent="0.25">
      <c r="A6" s="55"/>
      <c r="B6" s="5" t="s">
        <v>14</v>
      </c>
      <c r="C6" s="3">
        <v>70895592</v>
      </c>
      <c r="D6" s="3">
        <v>67159802</v>
      </c>
      <c r="E6" s="3">
        <v>79138942</v>
      </c>
      <c r="F6" s="3">
        <v>71525750</v>
      </c>
      <c r="G6" s="3">
        <v>63297910</v>
      </c>
      <c r="H6" s="3">
        <v>66689341</v>
      </c>
      <c r="I6" s="3">
        <v>72315211</v>
      </c>
      <c r="J6" s="3">
        <v>67835798</v>
      </c>
      <c r="K6" s="3">
        <v>70717128</v>
      </c>
      <c r="L6" s="3">
        <v>74718412</v>
      </c>
      <c r="M6" s="3">
        <v>76187218</v>
      </c>
      <c r="N6" s="3">
        <v>78473456</v>
      </c>
    </row>
    <row r="7" spans="1:14" ht="22.5" customHeight="1" x14ac:dyDescent="0.25">
      <c r="A7" s="55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55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55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55"/>
      <c r="B10" s="56" t="s">
        <v>21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ht="22.5" customHeight="1" x14ac:dyDescent="0.25">
      <c r="A11" s="55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54" t="s">
        <v>26</v>
      </c>
      <c r="B12" s="56" t="s">
        <v>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ht="22.5" customHeight="1" x14ac:dyDescent="0.25">
      <c r="A13" s="55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55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55"/>
      <c r="B15" s="5" t="s">
        <v>15</v>
      </c>
      <c r="C15" s="3">
        <v>26136</v>
      </c>
      <c r="D15" s="3">
        <v>18909</v>
      </c>
      <c r="E15" s="3">
        <v>44823</v>
      </c>
      <c r="F15" s="3">
        <v>7787</v>
      </c>
      <c r="G15" s="3">
        <v>6634</v>
      </c>
      <c r="H15" s="3">
        <v>3658</v>
      </c>
      <c r="I15" s="3">
        <v>3135</v>
      </c>
      <c r="J15" s="3">
        <v>4014</v>
      </c>
      <c r="K15" s="3">
        <v>2555</v>
      </c>
      <c r="L15" s="3">
        <v>8931</v>
      </c>
      <c r="M15" s="3">
        <v>12647</v>
      </c>
      <c r="N15" s="3">
        <v>9712</v>
      </c>
    </row>
    <row r="16" spans="1:14" ht="22.5" customHeight="1" x14ac:dyDescent="0.25">
      <c r="A16" s="55"/>
      <c r="B16" s="5" t="s">
        <v>16</v>
      </c>
      <c r="C16" s="3">
        <v>15032</v>
      </c>
      <c r="D16" s="3">
        <v>15174</v>
      </c>
      <c r="E16" s="3">
        <v>8249</v>
      </c>
      <c r="F16" s="3">
        <v>5985</v>
      </c>
      <c r="G16" s="3">
        <v>5921</v>
      </c>
      <c r="H16" s="3">
        <v>3754</v>
      </c>
      <c r="I16" s="3">
        <v>4555</v>
      </c>
      <c r="J16" s="3">
        <v>5227</v>
      </c>
      <c r="K16" s="3">
        <v>6784</v>
      </c>
      <c r="L16" s="3">
        <v>9367</v>
      </c>
      <c r="M16" s="3">
        <v>21845</v>
      </c>
      <c r="N16" s="3">
        <v>19481</v>
      </c>
    </row>
    <row r="17" spans="1:14" ht="22.5" customHeight="1" x14ac:dyDescent="0.25">
      <c r="A17" s="55"/>
      <c r="B17" s="5" t="s">
        <v>17</v>
      </c>
      <c r="C17" s="3">
        <v>2452</v>
      </c>
      <c r="D17" s="3">
        <v>2205</v>
      </c>
      <c r="E17" s="3">
        <v>2048</v>
      </c>
      <c r="F17" s="3">
        <v>31477</v>
      </c>
      <c r="G17" s="3">
        <v>9429</v>
      </c>
      <c r="H17" s="3">
        <v>9057</v>
      </c>
      <c r="I17" s="3">
        <v>10238</v>
      </c>
      <c r="J17" s="3">
        <v>7293</v>
      </c>
      <c r="K17" s="3">
        <v>9316</v>
      </c>
      <c r="L17" s="3">
        <v>3501</v>
      </c>
      <c r="M17" s="3">
        <v>5630</v>
      </c>
      <c r="N17" s="3">
        <v>35364</v>
      </c>
    </row>
    <row r="18" spans="1:14" ht="22.5" customHeight="1" x14ac:dyDescent="0.25">
      <c r="A18" s="55"/>
      <c r="B18" s="56" t="s">
        <v>21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ht="22.5" customHeight="1" x14ac:dyDescent="0.25">
      <c r="A19" s="55"/>
      <c r="B19" s="4"/>
      <c r="C19" s="3">
        <v>4807</v>
      </c>
      <c r="D19" s="3">
        <v>2174</v>
      </c>
      <c r="E19" s="3">
        <v>5195</v>
      </c>
      <c r="F19" s="3">
        <v>2548</v>
      </c>
      <c r="G19" s="3">
        <v>4148</v>
      </c>
      <c r="H19" s="3">
        <v>6678</v>
      </c>
      <c r="I19" s="3">
        <v>4247</v>
      </c>
      <c r="J19" s="3">
        <v>5517</v>
      </c>
      <c r="K19" s="3">
        <v>8027</v>
      </c>
      <c r="L19" s="3">
        <v>5852</v>
      </c>
      <c r="M19" s="3">
        <v>3056</v>
      </c>
      <c r="N19" s="3">
        <v>6126</v>
      </c>
    </row>
    <row r="20" spans="1:14" ht="22.5" customHeight="1" x14ac:dyDescent="0.25">
      <c r="A20" s="54" t="s">
        <v>27</v>
      </c>
      <c r="B20" s="56" t="s">
        <v>20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ht="22.5" customHeight="1" x14ac:dyDescent="0.25">
      <c r="A21" s="55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55"/>
      <c r="B22" s="5" t="s">
        <v>14</v>
      </c>
      <c r="C22" s="3">
        <v>777239</v>
      </c>
      <c r="D22" s="3">
        <v>730820</v>
      </c>
      <c r="E22" s="3">
        <v>800740</v>
      </c>
      <c r="F22" s="3">
        <v>787235</v>
      </c>
      <c r="G22" s="3">
        <v>874238</v>
      </c>
      <c r="H22" s="3">
        <v>867570</v>
      </c>
      <c r="I22" s="3">
        <v>881306</v>
      </c>
      <c r="J22" s="3">
        <v>876694</v>
      </c>
      <c r="K22" s="3">
        <v>828630</v>
      </c>
      <c r="L22" s="3">
        <v>827152</v>
      </c>
      <c r="M22" s="3">
        <v>796329</v>
      </c>
      <c r="N22" s="3">
        <v>799342</v>
      </c>
    </row>
    <row r="23" spans="1:14" ht="22.5" customHeight="1" x14ac:dyDescent="0.25">
      <c r="A23" s="55"/>
      <c r="B23" s="5" t="s">
        <v>15</v>
      </c>
      <c r="C23" s="3">
        <v>122858</v>
      </c>
      <c r="D23" s="3">
        <v>55387</v>
      </c>
      <c r="E23" s="3">
        <v>48458</v>
      </c>
      <c r="F23" s="3">
        <v>25330</v>
      </c>
      <c r="G23" s="3">
        <v>7671</v>
      </c>
      <c r="H23" s="3">
        <v>7381</v>
      </c>
      <c r="I23" s="3">
        <v>8665</v>
      </c>
      <c r="J23" s="3">
        <v>7982</v>
      </c>
      <c r="K23" s="3">
        <v>11592</v>
      </c>
      <c r="L23" s="3">
        <v>6852</v>
      </c>
      <c r="M23" s="3">
        <v>46240</v>
      </c>
      <c r="N23" s="3">
        <v>92369</v>
      </c>
    </row>
    <row r="24" spans="1:14" ht="22.5" customHeight="1" x14ac:dyDescent="0.25">
      <c r="A24" s="55"/>
      <c r="B24" s="5" t="s">
        <v>16</v>
      </c>
      <c r="C24" s="3">
        <v>550466</v>
      </c>
      <c r="D24" s="3">
        <v>560088</v>
      </c>
      <c r="E24" s="3">
        <v>551288</v>
      </c>
      <c r="F24" s="3">
        <v>511279</v>
      </c>
      <c r="G24" s="3">
        <v>407956</v>
      </c>
      <c r="H24" s="3">
        <v>396215</v>
      </c>
      <c r="I24" s="3">
        <v>418272</v>
      </c>
      <c r="J24" s="3">
        <v>398916</v>
      </c>
      <c r="K24" s="3">
        <v>448089</v>
      </c>
      <c r="L24" s="3">
        <v>552397</v>
      </c>
      <c r="M24" s="3">
        <v>599505</v>
      </c>
      <c r="N24" s="3">
        <v>604405</v>
      </c>
    </row>
    <row r="25" spans="1:14" ht="22.5" customHeight="1" x14ac:dyDescent="0.25">
      <c r="A25" s="55"/>
      <c r="B25" s="5" t="s">
        <v>17</v>
      </c>
      <c r="C25" s="3">
        <v>231678</v>
      </c>
      <c r="D25" s="3">
        <v>193694</v>
      </c>
      <c r="E25" s="3">
        <v>176296</v>
      </c>
      <c r="F25" s="3">
        <v>192658</v>
      </c>
      <c r="G25" s="3">
        <v>152567</v>
      </c>
      <c r="H25" s="3">
        <v>125212</v>
      </c>
      <c r="I25" s="3">
        <v>134001</v>
      </c>
      <c r="J25" s="3">
        <v>125689</v>
      </c>
      <c r="K25" s="3">
        <v>124298</v>
      </c>
      <c r="L25" s="3">
        <v>144387</v>
      </c>
      <c r="M25" s="3">
        <v>173116</v>
      </c>
      <c r="N25" s="3">
        <v>168695</v>
      </c>
    </row>
    <row r="26" spans="1:14" ht="22.5" customHeight="1" x14ac:dyDescent="0.25">
      <c r="A26" s="55"/>
      <c r="B26" s="56" t="s">
        <v>21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</row>
    <row r="27" spans="1:14" ht="22.5" customHeight="1" x14ac:dyDescent="0.25">
      <c r="A27" s="55"/>
      <c r="B27" s="4"/>
      <c r="C27" s="3">
        <v>241565.00000000003</v>
      </c>
      <c r="D27" s="3">
        <v>208914</v>
      </c>
      <c r="E27" s="3">
        <v>215216.99999999997</v>
      </c>
      <c r="F27" s="3">
        <v>217275</v>
      </c>
      <c r="G27" s="3">
        <v>276500</v>
      </c>
      <c r="H27" s="3">
        <v>282918</v>
      </c>
      <c r="I27" s="3">
        <v>293848</v>
      </c>
      <c r="J27" s="3">
        <v>304172</v>
      </c>
      <c r="K27" s="3">
        <v>271853</v>
      </c>
      <c r="L27" s="3">
        <v>270163</v>
      </c>
      <c r="M27" s="3">
        <v>252782</v>
      </c>
      <c r="N27" s="3">
        <v>238269</v>
      </c>
    </row>
    <row r="28" spans="1:14" ht="22.5" customHeight="1" x14ac:dyDescent="0.25">
      <c r="A28" s="59" t="s">
        <v>18</v>
      </c>
      <c r="B28" s="60"/>
      <c r="C28" s="9">
        <f>SUM(C5:C9,C11,C13:C17,C19,C21:C25,C27)</f>
        <v>79891301</v>
      </c>
      <c r="D28" s="9">
        <f t="shared" ref="D28:M28" si="0">SUM(D5:D9,D11,D13:D17,D19,D21:D25,D27)</f>
        <v>75375566</v>
      </c>
      <c r="E28" s="9">
        <f t="shared" si="0"/>
        <v>88947833</v>
      </c>
      <c r="F28" s="9">
        <f t="shared" si="0"/>
        <v>80338569</v>
      </c>
      <c r="G28" s="9">
        <f t="shared" si="0"/>
        <v>71200399</v>
      </c>
      <c r="H28" s="9">
        <f t="shared" si="0"/>
        <v>75121105</v>
      </c>
      <c r="I28" s="9">
        <f t="shared" si="0"/>
        <v>81371843</v>
      </c>
      <c r="J28" s="9">
        <f t="shared" si="0"/>
        <v>76342049</v>
      </c>
      <c r="K28" s="9">
        <f t="shared" si="0"/>
        <v>79130776</v>
      </c>
      <c r="L28" s="9">
        <f t="shared" ref="L28" si="1">SUM(L5:L9,L11,L13:L17,L19,L21:L25,L27)</f>
        <v>83939043</v>
      </c>
      <c r="M28" s="9">
        <f t="shared" si="0"/>
        <v>85813059</v>
      </c>
      <c r="N28" s="9">
        <f t="shared" ref="N28" si="2">SUM(N5:N9,N11,N13:N17,N19,N21:N25,N27)</f>
        <v>88719557</v>
      </c>
    </row>
    <row r="30" spans="1:14" ht="22.5" customHeight="1" x14ac:dyDescent="0.25">
      <c r="I30" s="10"/>
    </row>
  </sheetData>
  <mergeCells count="11">
    <mergeCell ref="A20:A27"/>
    <mergeCell ref="B20:N20"/>
    <mergeCell ref="B26:N26"/>
    <mergeCell ref="A28:B28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N2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1" spans="1:14" ht="22.5" customHeight="1" x14ac:dyDescent="0.25"/>
    <row r="2" spans="1:14" ht="42.75" customHeight="1" x14ac:dyDescent="0.25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54" t="s">
        <v>29</v>
      </c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2.5" customHeight="1" x14ac:dyDescent="0.25">
      <c r="A5" s="55"/>
      <c r="B5" s="5" t="s">
        <v>19</v>
      </c>
      <c r="C5" s="3">
        <v>7149835</v>
      </c>
      <c r="D5" s="3">
        <v>6707199</v>
      </c>
      <c r="E5" s="3">
        <v>7452324</v>
      </c>
      <c r="F5" s="3">
        <v>6245907</v>
      </c>
      <c r="G5" s="3">
        <v>5963999</v>
      </c>
      <c r="H5" s="3">
        <v>4106141</v>
      </c>
      <c r="I5" s="3">
        <v>6179462</v>
      </c>
      <c r="J5" s="3">
        <v>6142058</v>
      </c>
      <c r="K5" s="3">
        <v>5258858</v>
      </c>
      <c r="L5" s="3">
        <v>6873291</v>
      </c>
      <c r="M5" s="3">
        <v>7119375</v>
      </c>
      <c r="N5" s="3">
        <v>7058269</v>
      </c>
    </row>
    <row r="6" spans="1:14" ht="22.5" customHeight="1" x14ac:dyDescent="0.25">
      <c r="A6" s="55"/>
      <c r="B6" s="5" t="s">
        <v>14</v>
      </c>
      <c r="C6" s="3">
        <v>70476990</v>
      </c>
      <c r="D6" s="3">
        <v>67069722</v>
      </c>
      <c r="E6" s="3">
        <v>73993180</v>
      </c>
      <c r="F6" s="3">
        <v>61919066</v>
      </c>
      <c r="G6" s="3">
        <v>65056614</v>
      </c>
      <c r="H6" s="3">
        <v>57905184</v>
      </c>
      <c r="I6" s="3">
        <v>64483894</v>
      </c>
      <c r="J6" s="3">
        <v>68212543</v>
      </c>
      <c r="K6" s="3">
        <v>64085211</v>
      </c>
      <c r="L6" s="3">
        <v>71374639</v>
      </c>
      <c r="M6" s="3">
        <v>75997089</v>
      </c>
      <c r="N6" s="3">
        <v>78696554</v>
      </c>
    </row>
    <row r="7" spans="1:14" ht="22.5" customHeight="1" x14ac:dyDescent="0.25">
      <c r="A7" s="55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55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55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55"/>
      <c r="B10" s="12"/>
      <c r="C10" s="13"/>
      <c r="D10" s="13"/>
      <c r="E10" s="13"/>
      <c r="F10" s="13"/>
      <c r="G10" s="13"/>
      <c r="H10" s="13"/>
      <c r="I10" s="11" t="s">
        <v>21</v>
      </c>
      <c r="J10" s="13"/>
      <c r="K10" s="13"/>
      <c r="L10" s="13"/>
      <c r="M10" s="13"/>
      <c r="N10" s="14"/>
    </row>
    <row r="11" spans="1:14" ht="22.5" customHeight="1" x14ac:dyDescent="0.25">
      <c r="A11" s="55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54" t="s">
        <v>26</v>
      </c>
      <c r="B12" s="12"/>
      <c r="C12" s="13"/>
      <c r="D12" s="13"/>
      <c r="E12" s="13"/>
      <c r="F12" s="13"/>
      <c r="G12" s="13"/>
      <c r="H12" s="13"/>
      <c r="I12" s="11" t="s">
        <v>20</v>
      </c>
      <c r="J12" s="13"/>
      <c r="K12" s="13"/>
      <c r="L12" s="13"/>
      <c r="M12" s="13"/>
      <c r="N12" s="14"/>
    </row>
    <row r="13" spans="1:14" ht="22.5" customHeight="1" x14ac:dyDescent="0.25">
      <c r="A13" s="55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55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55"/>
      <c r="B15" s="5" t="s">
        <v>15</v>
      </c>
      <c r="C15" s="3">
        <v>8155</v>
      </c>
      <c r="D15" s="3">
        <v>7959</v>
      </c>
      <c r="E15" s="3">
        <v>6156</v>
      </c>
      <c r="F15" s="3">
        <v>3842</v>
      </c>
      <c r="G15" s="3">
        <v>1651</v>
      </c>
      <c r="H15" s="3">
        <v>1933</v>
      </c>
      <c r="I15" s="3">
        <v>3855</v>
      </c>
      <c r="J15" s="3">
        <v>4014</v>
      </c>
      <c r="K15" s="3">
        <v>27113</v>
      </c>
      <c r="L15" s="3">
        <v>17838</v>
      </c>
      <c r="M15" s="3">
        <v>33846</v>
      </c>
      <c r="N15" s="3">
        <v>29979</v>
      </c>
    </row>
    <row r="16" spans="1:14" ht="22.5" customHeight="1" x14ac:dyDescent="0.25">
      <c r="A16" s="55"/>
      <c r="B16" s="5" t="s">
        <v>16</v>
      </c>
      <c r="C16" s="3">
        <v>12570</v>
      </c>
      <c r="D16" s="3">
        <v>16416</v>
      </c>
      <c r="E16" s="3">
        <v>12156</v>
      </c>
      <c r="F16" s="3">
        <v>13904</v>
      </c>
      <c r="G16" s="3">
        <v>8082</v>
      </c>
      <c r="H16" s="3">
        <v>6173</v>
      </c>
      <c r="I16" s="3">
        <v>6457</v>
      </c>
      <c r="J16" s="3">
        <v>5756</v>
      </c>
      <c r="K16" s="3">
        <v>3847</v>
      </c>
      <c r="L16" s="3">
        <v>3887</v>
      </c>
      <c r="M16" s="3">
        <v>4181</v>
      </c>
      <c r="N16" s="3">
        <v>4376</v>
      </c>
    </row>
    <row r="17" spans="1:14" ht="22.5" customHeight="1" x14ac:dyDescent="0.25">
      <c r="A17" s="55"/>
      <c r="B17" s="5" t="s">
        <v>17</v>
      </c>
      <c r="C17" s="3">
        <v>19078</v>
      </c>
      <c r="D17" s="3">
        <v>18887</v>
      </c>
      <c r="E17" s="3">
        <v>28506</v>
      </c>
      <c r="F17" s="3">
        <v>37612</v>
      </c>
      <c r="G17" s="3">
        <v>35057</v>
      </c>
      <c r="H17" s="3">
        <v>38806</v>
      </c>
      <c r="I17" s="3">
        <v>40212</v>
      </c>
      <c r="J17" s="3">
        <v>1201</v>
      </c>
      <c r="K17" s="3">
        <v>3093</v>
      </c>
      <c r="L17" s="3">
        <v>1634</v>
      </c>
      <c r="M17" s="3">
        <v>1628</v>
      </c>
      <c r="N17" s="3">
        <v>1676</v>
      </c>
    </row>
    <row r="18" spans="1:14" ht="22.5" customHeight="1" x14ac:dyDescent="0.25">
      <c r="A18" s="55"/>
      <c r="B18" s="12"/>
      <c r="C18" s="13"/>
      <c r="D18" s="13"/>
      <c r="E18" s="13"/>
      <c r="F18" s="13"/>
      <c r="G18" s="13"/>
      <c r="H18" s="13"/>
      <c r="I18" s="11" t="s">
        <v>21</v>
      </c>
      <c r="J18" s="13"/>
      <c r="K18" s="13"/>
      <c r="L18" s="13"/>
      <c r="M18" s="13"/>
      <c r="N18" s="14"/>
    </row>
    <row r="19" spans="1:14" ht="22.5" customHeight="1" x14ac:dyDescent="0.25">
      <c r="A19" s="55"/>
      <c r="B19" s="4"/>
      <c r="C19" s="3">
        <v>2986</v>
      </c>
      <c r="D19" s="3">
        <v>2400</v>
      </c>
      <c r="E19" s="3">
        <v>15635</v>
      </c>
      <c r="F19" s="3">
        <v>10563</v>
      </c>
      <c r="G19" s="3">
        <v>5730</v>
      </c>
      <c r="H19" s="3">
        <v>4948</v>
      </c>
      <c r="I19" s="3">
        <v>5719</v>
      </c>
      <c r="J19" s="3">
        <v>5708</v>
      </c>
      <c r="K19" s="3">
        <v>5708</v>
      </c>
      <c r="L19" s="3">
        <v>9095</v>
      </c>
      <c r="M19" s="3">
        <v>4743</v>
      </c>
      <c r="N19" s="3">
        <v>4614</v>
      </c>
    </row>
    <row r="20" spans="1:14" ht="22.5" customHeight="1" x14ac:dyDescent="0.25">
      <c r="A20" s="54" t="s">
        <v>27</v>
      </c>
      <c r="B20" s="12"/>
      <c r="C20" s="13"/>
      <c r="D20" s="13"/>
      <c r="E20" s="13"/>
      <c r="F20" s="13"/>
      <c r="G20" s="13"/>
      <c r="H20" s="13"/>
      <c r="I20" s="11" t="s">
        <v>20</v>
      </c>
      <c r="J20" s="13"/>
      <c r="K20" s="13"/>
      <c r="L20" s="13"/>
      <c r="M20" s="13"/>
      <c r="N20" s="14"/>
    </row>
    <row r="21" spans="1:14" ht="22.5" customHeight="1" x14ac:dyDescent="0.25">
      <c r="A21" s="55"/>
      <c r="B21" s="5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55"/>
      <c r="B22" s="5" t="s">
        <v>14</v>
      </c>
      <c r="C22" s="3">
        <v>807545</v>
      </c>
      <c r="D22" s="3">
        <v>775166</v>
      </c>
      <c r="E22" s="3">
        <v>831603</v>
      </c>
      <c r="F22" s="3">
        <v>806311</v>
      </c>
      <c r="G22" s="3">
        <v>882225</v>
      </c>
      <c r="H22" s="3">
        <v>898514</v>
      </c>
      <c r="I22" s="3">
        <v>991703</v>
      </c>
      <c r="J22" s="3">
        <v>978233</v>
      </c>
      <c r="K22" s="3">
        <v>848338</v>
      </c>
      <c r="L22" s="3">
        <v>866939</v>
      </c>
      <c r="M22" s="3">
        <v>821299</v>
      </c>
      <c r="N22" s="3">
        <v>858228</v>
      </c>
    </row>
    <row r="23" spans="1:14" ht="22.5" customHeight="1" x14ac:dyDescent="0.25">
      <c r="A23" s="55"/>
      <c r="B23" s="5" t="s">
        <v>15</v>
      </c>
      <c r="C23" s="3">
        <v>119933</v>
      </c>
      <c r="D23" s="3">
        <v>65776</v>
      </c>
      <c r="E23" s="3">
        <v>51533</v>
      </c>
      <c r="F23" s="3">
        <v>18178</v>
      </c>
      <c r="G23" s="3">
        <v>2976</v>
      </c>
      <c r="H23" s="3">
        <v>2677</v>
      </c>
      <c r="I23" s="3">
        <v>2690</v>
      </c>
      <c r="J23" s="3">
        <v>2254</v>
      </c>
      <c r="K23" s="3">
        <v>2276</v>
      </c>
      <c r="L23" s="3">
        <f>'[1]Вологодская область'!$L$192+'[1]Вологодская область'!$L$200</f>
        <v>22521</v>
      </c>
      <c r="M23" s="3">
        <v>80941</v>
      </c>
      <c r="N23" s="3">
        <v>96088</v>
      </c>
    </row>
    <row r="24" spans="1:14" ht="22.5" customHeight="1" x14ac:dyDescent="0.25">
      <c r="A24" s="55"/>
      <c r="B24" s="5" t="s">
        <v>16</v>
      </c>
      <c r="C24" s="3">
        <v>597878</v>
      </c>
      <c r="D24" s="3">
        <v>590737</v>
      </c>
      <c r="E24" s="3">
        <v>552668</v>
      </c>
      <c r="F24" s="3">
        <v>475031</v>
      </c>
      <c r="G24" s="3">
        <v>355992</v>
      </c>
      <c r="H24" s="3">
        <v>353208</v>
      </c>
      <c r="I24" s="3">
        <v>351908</v>
      </c>
      <c r="J24" s="3">
        <v>377466</v>
      </c>
      <c r="K24" s="3">
        <v>465220</v>
      </c>
      <c r="L24" s="3">
        <f>'[1]Вологодская область'!$L$193+'[1]Вологодская область'!$L$201</f>
        <v>567160</v>
      </c>
      <c r="M24" s="3">
        <v>609776</v>
      </c>
      <c r="N24" s="3">
        <v>653244</v>
      </c>
    </row>
    <row r="25" spans="1:14" ht="22.5" customHeight="1" x14ac:dyDescent="0.25">
      <c r="A25" s="55"/>
      <c r="B25" s="5" t="s">
        <v>17</v>
      </c>
      <c r="C25" s="3">
        <v>178902</v>
      </c>
      <c r="D25" s="3">
        <v>158813</v>
      </c>
      <c r="E25" s="3">
        <v>148695</v>
      </c>
      <c r="F25" s="3">
        <v>120765</v>
      </c>
      <c r="G25" s="3">
        <v>106045</v>
      </c>
      <c r="H25" s="3">
        <v>105593</v>
      </c>
      <c r="I25" s="3">
        <v>114187</v>
      </c>
      <c r="J25" s="3">
        <v>117265</v>
      </c>
      <c r="K25" s="3">
        <v>118687</v>
      </c>
      <c r="L25" s="3">
        <f>'[1]Вологодская область'!$L$194+'[1]Вологодская область'!$L$202</f>
        <v>126714</v>
      </c>
      <c r="M25" s="3">
        <v>138266</v>
      </c>
      <c r="N25" s="3">
        <v>155552</v>
      </c>
    </row>
    <row r="26" spans="1:14" ht="22.5" customHeight="1" x14ac:dyDescent="0.25">
      <c r="A26" s="55"/>
      <c r="B26" s="12"/>
      <c r="C26" s="13"/>
      <c r="D26" s="13"/>
      <c r="E26" s="13"/>
      <c r="F26" s="13"/>
      <c r="G26" s="13"/>
      <c r="H26" s="13"/>
      <c r="I26" s="11" t="s">
        <v>21</v>
      </c>
      <c r="J26" s="13"/>
      <c r="K26" s="13"/>
      <c r="L26" s="13"/>
      <c r="M26" s="13"/>
      <c r="N26" s="14"/>
    </row>
    <row r="27" spans="1:14" ht="22.5" customHeight="1" x14ac:dyDescent="0.25">
      <c r="A27" s="55"/>
      <c r="B27" s="4"/>
      <c r="C27" s="3">
        <v>289729</v>
      </c>
      <c r="D27" s="3">
        <v>220847</v>
      </c>
      <c r="E27" s="3">
        <v>213147</v>
      </c>
      <c r="F27" s="3">
        <v>206871</v>
      </c>
      <c r="G27" s="3">
        <v>242303</v>
      </c>
      <c r="H27" s="3">
        <v>225001</v>
      </c>
      <c r="I27" s="3">
        <v>253902</v>
      </c>
      <c r="J27" s="3">
        <v>268818</v>
      </c>
      <c r="K27" s="3">
        <v>264602</v>
      </c>
      <c r="L27" s="3">
        <f>'[1]Вологодская область'!$L$195+'[1]Вологодская область'!$L$196+'[1]Вологодская область'!$L$197+'[1]Вологодская область'!$L$198+'[1]Вологодская область'!$L$199</f>
        <v>244978</v>
      </c>
      <c r="M27" s="3">
        <f>'[1]Вологодская область'!$L$215+'[1]Вологодская область'!$L$216+'[1]Вологодская область'!$L$217+'[1]Вологодская область'!$L$218+'[1]Вологодская область'!$L$219</f>
        <v>206940</v>
      </c>
      <c r="N27" s="3">
        <v>204582</v>
      </c>
    </row>
    <row r="28" spans="1:14" ht="22.5" customHeight="1" x14ac:dyDescent="0.25">
      <c r="A28" s="59" t="s">
        <v>18</v>
      </c>
      <c r="B28" s="60"/>
      <c r="C28" s="9">
        <f>SUM(C5:C9,C11,C13:C17,C19,C21:C25,C27)</f>
        <v>79663601</v>
      </c>
      <c r="D28" s="9">
        <f t="shared" ref="D28:N28" si="0">SUM(D5:D9,D11,D13:D17,D19,D21:D25,D27)</f>
        <v>75633922</v>
      </c>
      <c r="E28" s="9">
        <f t="shared" si="0"/>
        <v>83305603</v>
      </c>
      <c r="F28" s="9">
        <f t="shared" si="0"/>
        <v>69858050</v>
      </c>
      <c r="G28" s="9">
        <f t="shared" si="0"/>
        <v>72660674</v>
      </c>
      <c r="H28" s="9">
        <f t="shared" si="0"/>
        <v>63648178</v>
      </c>
      <c r="I28" s="9">
        <f>SUM(I5:I9,I11,I13:I17,I19,I21:I25,I27)</f>
        <v>72433989</v>
      </c>
      <c r="J28" s="9">
        <f t="shared" si="0"/>
        <v>76115316</v>
      </c>
      <c r="K28" s="9">
        <f>SUM(K5:K9,K11,K13:K17,K19,K21:K25,K27)</f>
        <v>71082953</v>
      </c>
      <c r="L28" s="9">
        <f t="shared" si="0"/>
        <v>80108696</v>
      </c>
      <c r="M28" s="9">
        <f t="shared" si="0"/>
        <v>85018084</v>
      </c>
      <c r="N28" s="9">
        <f t="shared" si="0"/>
        <v>87763162</v>
      </c>
    </row>
    <row r="29" spans="1:14" x14ac:dyDescent="0.25">
      <c r="I29" s="10"/>
    </row>
    <row r="30" spans="1:14" ht="22.5" customHeight="1" x14ac:dyDescent="0.25">
      <c r="I30" s="10"/>
    </row>
  </sheetData>
  <mergeCells count="6">
    <mergeCell ref="A20:A27"/>
    <mergeCell ref="A28:B28"/>
    <mergeCell ref="A2:N2"/>
    <mergeCell ref="A4:A11"/>
    <mergeCell ref="B4:N4"/>
    <mergeCell ref="A12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70" zoomScaleNormal="70" workbookViewId="0">
      <pane xSplit="2" ySplit="4" topLeftCell="C5" activePane="bottomRight" state="frozen"/>
      <selection activeCell="C50" sqref="C50:N50"/>
      <selection pane="topRight" activeCell="C50" sqref="C50:N50"/>
      <selection pane="bottomLeft" activeCell="C50" sqref="C50:N50"/>
      <selection pane="bottomRight" activeCell="C50" sqref="C50:N50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9" width="14.42578125" style="21" customWidth="1"/>
    <col min="10" max="10" width="17.85546875" style="21" customWidth="1"/>
    <col min="11" max="12" width="18.28515625" style="21" customWidth="1"/>
    <col min="13" max="13" width="18.42578125" style="21" customWidth="1"/>
    <col min="14" max="14" width="17.7109375" style="21" customWidth="1"/>
    <col min="15" max="16384" width="9.140625" style="21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42.75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63" t="s">
        <v>29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64"/>
      <c r="B5" s="25" t="s">
        <v>19</v>
      </c>
      <c r="C5" s="26">
        <v>6196980</v>
      </c>
      <c r="D5" s="26">
        <v>6145330</v>
      </c>
      <c r="E5" s="26">
        <v>7021603</v>
      </c>
      <c r="F5" s="26">
        <v>6624607</v>
      </c>
      <c r="G5" s="26">
        <v>5866656</v>
      </c>
      <c r="H5" s="26">
        <v>6052243</v>
      </c>
      <c r="I5" s="26"/>
      <c r="J5" s="26"/>
      <c r="K5" s="26"/>
      <c r="L5" s="26"/>
      <c r="M5" s="26"/>
      <c r="N5" s="26"/>
    </row>
    <row r="6" spans="1:14" x14ac:dyDescent="0.25">
      <c r="A6" s="64"/>
      <c r="B6" s="25" t="s">
        <v>14</v>
      </c>
      <c r="C6" s="26">
        <f>77912249+314908+1515945</f>
        <v>79743102</v>
      </c>
      <c r="D6" s="26">
        <f>70862697+252494+1253013</f>
        <v>72368204</v>
      </c>
      <c r="E6" s="26">
        <f>78323348+178783+909350</f>
        <v>79411481</v>
      </c>
      <c r="F6" s="26">
        <f>73350057+179586+763034</f>
        <v>74292677</v>
      </c>
      <c r="G6" s="26">
        <f>65429403+138711+584546</f>
        <v>66152660</v>
      </c>
      <c r="H6" s="26">
        <v>70361155</v>
      </c>
      <c r="I6" s="26">
        <f>65127200+67975+375633</f>
        <v>65570808</v>
      </c>
      <c r="J6" s="26">
        <v>73988261</v>
      </c>
      <c r="K6" s="26">
        <v>66165168</v>
      </c>
      <c r="L6" s="26">
        <v>72199469</v>
      </c>
      <c r="M6" s="26">
        <v>72150079</v>
      </c>
      <c r="N6" s="26">
        <f>73521265+257398+1297455</f>
        <v>75076118</v>
      </c>
    </row>
    <row r="7" spans="1:14" x14ac:dyDescent="0.25">
      <c r="A7" s="64"/>
      <c r="B7" s="25" t="s">
        <v>15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>
        <v>0</v>
      </c>
      <c r="N7" s="26"/>
    </row>
    <row r="8" spans="1:14" x14ac:dyDescent="0.25">
      <c r="A8" s="64"/>
      <c r="B8" s="25" t="s">
        <v>16</v>
      </c>
      <c r="C8" s="26">
        <f>111953+12000</f>
        <v>123953</v>
      </c>
      <c r="D8" s="26">
        <f>98610+12000</f>
        <v>110610</v>
      </c>
      <c r="E8" s="26">
        <f>2400+86035</f>
        <v>88435</v>
      </c>
      <c r="F8" s="26">
        <f>3000+85402</f>
        <v>88402</v>
      </c>
      <c r="G8" s="26">
        <f>1800+63616</f>
        <v>65416</v>
      </c>
      <c r="H8" s="26">
        <v>246073</v>
      </c>
      <c r="I8" s="26">
        <v>37545</v>
      </c>
      <c r="J8" s="26">
        <v>32125</v>
      </c>
      <c r="K8" s="26">
        <v>46805</v>
      </c>
      <c r="L8" s="26">
        <v>73007</v>
      </c>
      <c r="M8" s="26">
        <v>102581</v>
      </c>
      <c r="N8" s="26">
        <f>3600+138932</f>
        <v>142532</v>
      </c>
    </row>
    <row r="9" spans="1:14" x14ac:dyDescent="0.25">
      <c r="A9" s="64"/>
      <c r="B9" s="25" t="s">
        <v>17</v>
      </c>
      <c r="C9" s="26">
        <v>838</v>
      </c>
      <c r="D9" s="26">
        <f>679+19170</f>
        <v>19849</v>
      </c>
      <c r="E9" s="26">
        <f>4620+217</f>
        <v>4837</v>
      </c>
      <c r="F9" s="26">
        <f>5790+55</f>
        <v>5845</v>
      </c>
      <c r="G9" s="26">
        <v>1710</v>
      </c>
      <c r="H9" s="26">
        <v>4731</v>
      </c>
      <c r="I9" s="26">
        <v>619</v>
      </c>
      <c r="J9" s="26">
        <v>625</v>
      </c>
      <c r="K9" s="26">
        <v>32</v>
      </c>
      <c r="L9" s="26">
        <v>6380</v>
      </c>
      <c r="M9" s="26">
        <v>6581</v>
      </c>
      <c r="N9" s="26">
        <f>6390+11324</f>
        <v>17714</v>
      </c>
    </row>
    <row r="10" spans="1:14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1:14" x14ac:dyDescent="0.25">
      <c r="A11" s="64"/>
      <c r="B11" s="3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5">
      <c r="A12" s="63" t="s">
        <v>26</v>
      </c>
      <c r="B12" s="27"/>
      <c r="C12" s="28"/>
      <c r="D12" s="28"/>
      <c r="E12" s="28"/>
      <c r="F12" s="28"/>
      <c r="G12" s="28"/>
      <c r="H12" s="28"/>
      <c r="I12" s="19"/>
      <c r="J12" s="28"/>
      <c r="K12" s="28"/>
      <c r="L12" s="28"/>
      <c r="M12" s="28"/>
      <c r="N12" s="29"/>
    </row>
    <row r="13" spans="1:14" x14ac:dyDescent="0.25">
      <c r="A13" s="6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A14" s="64"/>
      <c r="B14" s="25" t="s">
        <v>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64"/>
      <c r="B15" s="25" t="s">
        <v>15</v>
      </c>
      <c r="C15" s="26">
        <v>24178</v>
      </c>
      <c r="D15" s="26">
        <v>26987</v>
      </c>
      <c r="E15" s="26">
        <v>25548</v>
      </c>
      <c r="F15" s="26">
        <v>32251</v>
      </c>
      <c r="G15" s="26">
        <v>14102</v>
      </c>
      <c r="H15" s="26">
        <v>9156</v>
      </c>
      <c r="I15" s="26">
        <v>12426</v>
      </c>
      <c r="J15" s="26">
        <v>12426</v>
      </c>
      <c r="K15" s="26">
        <v>19130</v>
      </c>
      <c r="L15" s="26">
        <v>24321</v>
      </c>
      <c r="M15" s="26">
        <v>20847</v>
      </c>
      <c r="N15" s="26">
        <f>12753</f>
        <v>12753</v>
      </c>
    </row>
    <row r="16" spans="1:14" x14ac:dyDescent="0.25">
      <c r="A16" s="64"/>
      <c r="B16" s="25" t="s">
        <v>16</v>
      </c>
      <c r="C16" s="26">
        <v>4823</v>
      </c>
      <c r="D16" s="26">
        <v>4412</v>
      </c>
      <c r="E16" s="26">
        <v>5416</v>
      </c>
      <c r="F16" s="26">
        <v>5232</v>
      </c>
      <c r="G16" s="26">
        <v>3974</v>
      </c>
      <c r="H16" s="26">
        <v>3640</v>
      </c>
      <c r="I16" s="26">
        <v>5171</v>
      </c>
      <c r="J16" s="26">
        <v>5171</v>
      </c>
      <c r="K16" s="26">
        <v>4501</v>
      </c>
      <c r="L16" s="26">
        <v>4196</v>
      </c>
      <c r="M16" s="26">
        <v>4747</v>
      </c>
      <c r="N16" s="26">
        <v>4631</v>
      </c>
    </row>
    <row r="17" spans="1:14" x14ac:dyDescent="0.25">
      <c r="A17" s="64"/>
      <c r="B17" s="25" t="s">
        <v>17</v>
      </c>
      <c r="C17" s="26">
        <v>1513</v>
      </c>
      <c r="D17" s="26">
        <v>1597</v>
      </c>
      <c r="E17" s="26">
        <v>1047</v>
      </c>
      <c r="F17" s="26">
        <v>594</v>
      </c>
      <c r="G17" s="26">
        <v>614</v>
      </c>
      <c r="H17" s="26">
        <v>594</v>
      </c>
      <c r="I17" s="26">
        <v>614</v>
      </c>
      <c r="J17" s="26">
        <v>614</v>
      </c>
      <c r="K17" s="26">
        <v>594</v>
      </c>
      <c r="L17" s="26">
        <v>614</v>
      </c>
      <c r="M17" s="26">
        <v>594</v>
      </c>
      <c r="N17" s="26">
        <v>614</v>
      </c>
    </row>
    <row r="18" spans="1:14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4" x14ac:dyDescent="0.25">
      <c r="A19" s="64"/>
      <c r="B19" s="30"/>
      <c r="C19" s="26">
        <v>7119</v>
      </c>
      <c r="D19" s="26">
        <v>5074</v>
      </c>
      <c r="E19" s="26">
        <v>7988</v>
      </c>
      <c r="F19" s="26">
        <v>3435</v>
      </c>
      <c r="G19" s="26">
        <v>4474</v>
      </c>
      <c r="H19" s="26">
        <v>7404</v>
      </c>
      <c r="I19" s="26">
        <v>8971</v>
      </c>
      <c r="J19" s="26">
        <v>8971</v>
      </c>
      <c r="K19" s="26">
        <v>5210</v>
      </c>
      <c r="L19" s="26">
        <v>3964</v>
      </c>
      <c r="M19" s="26">
        <v>5327</v>
      </c>
      <c r="N19" s="26">
        <v>4404</v>
      </c>
    </row>
    <row r="20" spans="1:14" x14ac:dyDescent="0.25">
      <c r="A20" s="63" t="s">
        <v>27</v>
      </c>
      <c r="B20" s="27"/>
      <c r="C20" s="28"/>
      <c r="D20" s="28"/>
      <c r="E20" s="28"/>
      <c r="F20" s="28"/>
      <c r="G20" s="28"/>
      <c r="H20" s="28"/>
      <c r="I20" s="19"/>
      <c r="J20" s="28"/>
      <c r="K20" s="28"/>
      <c r="L20" s="28"/>
      <c r="M20" s="28"/>
      <c r="N20" s="29"/>
    </row>
    <row r="21" spans="1:14" x14ac:dyDescent="0.25">
      <c r="A21" s="64"/>
      <c r="B21" s="25" t="s">
        <v>19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x14ac:dyDescent="0.25">
      <c r="A22" s="64"/>
      <c r="B22" s="25" t="s">
        <v>14</v>
      </c>
      <c r="C22" s="26">
        <v>866054</v>
      </c>
      <c r="D22" s="26">
        <v>804088</v>
      </c>
      <c r="E22" s="26">
        <v>885839</v>
      </c>
      <c r="F22" s="26">
        <v>866242</v>
      </c>
      <c r="G22" s="26">
        <v>920073</v>
      </c>
      <c r="H22" s="26">
        <v>897952</v>
      </c>
      <c r="I22" s="26">
        <v>965660</v>
      </c>
      <c r="J22" s="26">
        <v>995547</v>
      </c>
      <c r="K22" s="26">
        <v>893152</v>
      </c>
      <c r="L22" s="26">
        <v>910246</v>
      </c>
      <c r="M22" s="26">
        <v>851486</v>
      </c>
      <c r="N22" s="26">
        <v>879952</v>
      </c>
    </row>
    <row r="23" spans="1:14" x14ac:dyDescent="0.25">
      <c r="A23" s="64"/>
      <c r="B23" s="25" t="s">
        <v>15</v>
      </c>
      <c r="C23" s="26">
        <v>98303.000000001193</v>
      </c>
      <c r="D23" s="26">
        <v>64187.999999996602</v>
      </c>
      <c r="E23" s="26">
        <v>36071</v>
      </c>
      <c r="F23" s="26">
        <v>2675</v>
      </c>
      <c r="G23" s="26">
        <v>2316</v>
      </c>
      <c r="H23" s="26">
        <v>1944</v>
      </c>
      <c r="I23" s="26">
        <v>1479</v>
      </c>
      <c r="J23" s="26">
        <v>1452</v>
      </c>
      <c r="K23" s="26">
        <v>2343</v>
      </c>
      <c r="L23" s="26">
        <v>19638</v>
      </c>
      <c r="M23" s="26">
        <v>79354</v>
      </c>
      <c r="N23" s="26">
        <v>175847</v>
      </c>
    </row>
    <row r="24" spans="1:14" x14ac:dyDescent="0.25">
      <c r="A24" s="64"/>
      <c r="B24" s="25" t="s">
        <v>16</v>
      </c>
      <c r="C24" s="26">
        <f>588072+290339</f>
        <v>878411</v>
      </c>
      <c r="D24" s="26">
        <f>593011+251264</f>
        <v>844275</v>
      </c>
      <c r="E24" s="26">
        <f>587751+263319</f>
        <v>851070</v>
      </c>
      <c r="F24" s="26">
        <f>501723+233796</f>
        <v>735519</v>
      </c>
      <c r="G24" s="26">
        <f>455500+190082</f>
        <v>645582</v>
      </c>
      <c r="H24" s="26">
        <v>401871</v>
      </c>
      <c r="I24" s="26">
        <f>(196060+'[2]Вологодская область'!$L$141)+175388</f>
        <v>586028</v>
      </c>
      <c r="J24" s="26">
        <v>576999</v>
      </c>
      <c r="K24" s="26">
        <v>682262</v>
      </c>
      <c r="L24" s="26">
        <v>818121</v>
      </c>
      <c r="M24" s="26">
        <v>770210.77599999995</v>
      </c>
      <c r="N24" s="26">
        <f>778435+222261</f>
        <v>1000696</v>
      </c>
    </row>
    <row r="25" spans="1:14" x14ac:dyDescent="0.25">
      <c r="A25" s="64"/>
      <c r="B25" s="25" t="s">
        <v>17</v>
      </c>
      <c r="C25" s="26">
        <f>149457+7495</f>
        <v>156952</v>
      </c>
      <c r="D25" s="26">
        <f>129615+5743</f>
        <v>135358</v>
      </c>
      <c r="E25" s="26">
        <f>145596+4308</f>
        <v>149904</v>
      </c>
      <c r="F25" s="26">
        <f>127945+3214</f>
        <v>131159</v>
      </c>
      <c r="G25" s="26">
        <f>119116+3055</f>
        <v>122171</v>
      </c>
      <c r="H25" s="26">
        <v>91943</v>
      </c>
      <c r="I25" s="26">
        <f>(79447+'[2]Вологодская область'!$L$142)+2682</f>
        <v>90641</v>
      </c>
      <c r="J25" s="26">
        <v>102155</v>
      </c>
      <c r="K25" s="26">
        <v>145008</v>
      </c>
      <c r="L25" s="26">
        <v>141750</v>
      </c>
      <c r="M25" s="26">
        <v>154580</v>
      </c>
      <c r="N25" s="26">
        <f>154945+4786</f>
        <v>159731</v>
      </c>
    </row>
    <row r="26" spans="1:14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25">
      <c r="A27" s="64"/>
      <c r="B27" s="30"/>
      <c r="C27" s="26">
        <v>310469</v>
      </c>
      <c r="D27" s="26">
        <v>212978</v>
      </c>
      <c r="E27" s="26">
        <v>191823</v>
      </c>
      <c r="F27" s="26">
        <v>211159</v>
      </c>
      <c r="G27" s="26">
        <v>291312</v>
      </c>
      <c r="H27" s="26">
        <v>295548</v>
      </c>
      <c r="I27" s="26">
        <v>263209</v>
      </c>
      <c r="J27" s="26">
        <v>210316</v>
      </c>
      <c r="K27" s="26">
        <f>'[2]Вологодская область'!$L$175+'[2]Вологодская область'!$L$176+'[2]Вологодская область'!$L$177+'[2]Вологодская область'!$L$178+'[2]Вологодская область'!$L$179</f>
        <v>208487</v>
      </c>
      <c r="L27" s="26">
        <v>196707</v>
      </c>
      <c r="M27" s="26">
        <v>170939</v>
      </c>
      <c r="N27" s="26">
        <v>145771</v>
      </c>
    </row>
    <row r="28" spans="1:14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4" x14ac:dyDescent="0.25">
      <c r="A29" s="64"/>
      <c r="B29" s="15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64"/>
      <c r="B30" s="15" t="s">
        <v>14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64"/>
      <c r="B31" s="15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64"/>
      <c r="B32" s="15" t="s">
        <v>16</v>
      </c>
      <c r="C32" s="16">
        <f>'[3]2017'!$C$41+'[3]2017'!$C$49</f>
        <v>145633</v>
      </c>
      <c r="D32" s="16">
        <f>'[3]2017'!$D$41+'[3]2017'!$D$49</f>
        <v>117604</v>
      </c>
      <c r="E32" s="16">
        <f>103755+12951</f>
        <v>116706</v>
      </c>
      <c r="F32" s="16">
        <f>93998+12115</f>
        <v>106113</v>
      </c>
      <c r="G32" s="16">
        <f>12281+77825</f>
        <v>90106</v>
      </c>
      <c r="H32" s="16">
        <v>95389</v>
      </c>
      <c r="I32" s="16">
        <f>103936+7002</f>
        <v>110938</v>
      </c>
      <c r="J32" s="16">
        <v>75229</v>
      </c>
      <c r="K32" s="16">
        <v>86555</v>
      </c>
      <c r="L32" s="16">
        <f>'[4]2017'!$L$41+'[4]2017'!$L$49</f>
        <v>105454</v>
      </c>
      <c r="M32" s="16">
        <v>128722</v>
      </c>
      <c r="N32" s="16">
        <v>144390</v>
      </c>
    </row>
    <row r="33" spans="1:14" x14ac:dyDescent="0.25">
      <c r="A33" s="64"/>
      <c r="B33" s="15" t="s">
        <v>17</v>
      </c>
      <c r="C33" s="16">
        <f>'[3]2017'!$C$34+'[3]2017'!$C$42+'[3]2017'!$C$58</f>
        <v>46824</v>
      </c>
      <c r="D33" s="16">
        <f>'[3]2017'!$D$34+'[3]2017'!$D$42+'[3]2017'!$D$58</f>
        <v>42119</v>
      </c>
      <c r="E33" s="16">
        <f>2688+32401+1282</f>
        <v>36371</v>
      </c>
      <c r="F33" s="16">
        <f>27075+2432+1303</f>
        <v>30810</v>
      </c>
      <c r="G33" s="16">
        <f>1363+1617+22407</f>
        <v>25387</v>
      </c>
      <c r="H33" s="16">
        <v>32570</v>
      </c>
      <c r="I33" s="16">
        <f>251+28185+1037</f>
        <v>29473</v>
      </c>
      <c r="J33" s="16">
        <v>28573</v>
      </c>
      <c r="K33" s="16">
        <v>34440</v>
      </c>
      <c r="L33" s="16">
        <f>'[4]2017'!$L$34+'[4]2017'!$L$42+'[4]2017'!$L$58</f>
        <v>40414</v>
      </c>
      <c r="M33" s="16">
        <v>44394</v>
      </c>
      <c r="N33" s="16">
        <v>46180</v>
      </c>
    </row>
    <row r="34" spans="1:14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4" x14ac:dyDescent="0.25">
      <c r="A35" s="64"/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5">
      <c r="A36" s="63" t="s">
        <v>31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</row>
    <row r="37" spans="1:14" x14ac:dyDescent="0.25">
      <c r="A37" s="64"/>
      <c r="B37" s="15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5">
      <c r="A38" s="64"/>
      <c r="B38" s="15" t="s">
        <v>14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64"/>
      <c r="B39" s="15" t="s">
        <v>15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64"/>
      <c r="B40" s="15" t="s">
        <v>16</v>
      </c>
      <c r="C40" s="16">
        <v>44220</v>
      </c>
      <c r="D40" s="16">
        <v>38114</v>
      </c>
      <c r="E40" s="16">
        <v>38030</v>
      </c>
      <c r="F40" s="16">
        <v>28550</v>
      </c>
      <c r="G40" s="16">
        <v>30375</v>
      </c>
      <c r="H40" s="16">
        <v>9474</v>
      </c>
      <c r="I40" s="16">
        <v>13378</v>
      </c>
      <c r="J40" s="16">
        <v>14194</v>
      </c>
      <c r="K40" s="16">
        <v>14603</v>
      </c>
      <c r="L40" s="16">
        <v>33652</v>
      </c>
      <c r="M40" s="16">
        <v>37945</v>
      </c>
      <c r="N40" s="16">
        <v>22409</v>
      </c>
    </row>
    <row r="41" spans="1:14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</row>
    <row r="43" spans="1:14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63" t="s">
        <v>32</v>
      </c>
      <c r="B44" s="65" t="s">
        <v>20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7"/>
    </row>
    <row r="45" spans="1:14" x14ac:dyDescent="0.25">
      <c r="A45" s="64"/>
      <c r="B45" s="15" t="s">
        <v>19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64"/>
      <c r="B46" s="15" t="s">
        <v>14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5">
      <c r="A47" s="64"/>
      <c r="B47" s="15" t="s">
        <v>15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5">
      <c r="A48" s="64"/>
      <c r="B48" s="15" t="s">
        <v>16</v>
      </c>
      <c r="C48" s="16">
        <v>0</v>
      </c>
      <c r="D48" s="16">
        <v>75</v>
      </c>
      <c r="E48" s="16">
        <v>0</v>
      </c>
      <c r="F48" s="16">
        <v>363</v>
      </c>
      <c r="G48" s="16">
        <v>137</v>
      </c>
      <c r="H48" s="16">
        <v>405</v>
      </c>
      <c r="I48" s="16">
        <v>32</v>
      </c>
      <c r="J48" s="16">
        <v>14</v>
      </c>
      <c r="K48" s="16"/>
      <c r="L48" s="16">
        <v>1475</v>
      </c>
      <c r="M48" s="16">
        <v>2008</v>
      </c>
      <c r="N48" s="16">
        <v>1759</v>
      </c>
    </row>
    <row r="49" spans="1:14" x14ac:dyDescent="0.25">
      <c r="A49" s="64"/>
      <c r="B49" s="15" t="s">
        <v>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25">
      <c r="A50" s="64"/>
      <c r="B50" s="17"/>
      <c r="C50" s="68" t="s">
        <v>39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9"/>
    </row>
    <row r="51" spans="1:14" x14ac:dyDescent="0.25">
      <c r="A51" s="64"/>
      <c r="B51" s="1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70" t="s">
        <v>18</v>
      </c>
      <c r="B52" s="71"/>
      <c r="C52" s="31">
        <f t="shared" ref="C52:H52" si="0">SUM(C5:C9,C11,C13:C17,C19,C21:C25,C27,C29:C33,C37:C41,C45:C49,C35,C43,C51)</f>
        <v>88649372</v>
      </c>
      <c r="D52" s="31">
        <f t="shared" si="0"/>
        <v>80940862</v>
      </c>
      <c r="E52" s="31">
        <f t="shared" si="0"/>
        <v>88872169</v>
      </c>
      <c r="F52" s="31">
        <f t="shared" si="0"/>
        <v>83165633</v>
      </c>
      <c r="G52" s="31">
        <f>SUM(G5:G9,G11,G13:G17,G19,G21:G25,G27,G29:G33,G37:G41,G45:G49,G35,G43,G51)</f>
        <v>74237065</v>
      </c>
      <c r="H52" s="31">
        <f t="shared" si="0"/>
        <v>78512092</v>
      </c>
      <c r="I52" s="31">
        <f t="shared" ref="I52:J52" si="1">SUM(I5:I9,I11,I13:I17,I19,I21:I25,I27,I29:I33,I37:I41,I45:I49,I35,I43,I51)</f>
        <v>67696992</v>
      </c>
      <c r="J52" s="31">
        <f t="shared" si="1"/>
        <v>76052672</v>
      </c>
      <c r="K52" s="31">
        <f>SUM(K5:K9,K11,K13:K17,K19,K21:K25,K27,K29:K33,K37:K41,K45:K49,K35,K43,K51)</f>
        <v>68308290</v>
      </c>
      <c r="L52" s="31">
        <f>SUM(L5:L9,L11,L13:L17,L19,L21:L25,L27,L29:L33,L37:L41,L45:L49,L35,L43,L51)</f>
        <v>74579408</v>
      </c>
      <c r="M52" s="31">
        <f>SUM(M5:M9,M11,M13:M17,M19,M21:M25,M27,M29:M33,M37:M41,M45:M49,M35,M43,M51)</f>
        <v>74530394.775999993</v>
      </c>
      <c r="N52" s="31">
        <f>SUM(N5:N9,N11,N13:N17,N19,N21:N25,N27,N29:N33,N37:N41,N45:N49,N35,N43,N51)</f>
        <v>77835501</v>
      </c>
    </row>
    <row r="53" spans="1:14" x14ac:dyDescent="0.25">
      <c r="C53" s="32"/>
      <c r="D53" s="32"/>
    </row>
    <row r="54" spans="1:14" x14ac:dyDescent="0.25">
      <c r="G54" s="32"/>
    </row>
    <row r="55" spans="1:14" x14ac:dyDescent="0.25">
      <c r="J55" s="32"/>
      <c r="N55" s="32"/>
    </row>
    <row r="56" spans="1:14" x14ac:dyDescent="0.25">
      <c r="G56" s="33"/>
      <c r="H56" s="32"/>
      <c r="L56" s="32"/>
      <c r="M56" s="32"/>
    </row>
    <row r="57" spans="1:14" x14ac:dyDescent="0.25">
      <c r="G57" s="34"/>
    </row>
    <row r="59" spans="1:14" x14ac:dyDescent="0.25">
      <c r="G59" s="33"/>
    </row>
    <row r="60" spans="1:14" x14ac:dyDescent="0.25">
      <c r="G60" s="33"/>
    </row>
  </sheetData>
  <mergeCells count="18">
    <mergeCell ref="C34:N34"/>
    <mergeCell ref="C42:N42"/>
    <mergeCell ref="C50:N50"/>
    <mergeCell ref="A52:B52"/>
    <mergeCell ref="A28:A35"/>
    <mergeCell ref="B28:N28"/>
    <mergeCell ref="A36:A43"/>
    <mergeCell ref="B36:N36"/>
    <mergeCell ref="A44:A51"/>
    <mergeCell ref="B44:N44"/>
    <mergeCell ref="A2:N2"/>
    <mergeCell ref="A4:A11"/>
    <mergeCell ref="B4:N4"/>
    <mergeCell ref="A12:A19"/>
    <mergeCell ref="A20:A27"/>
    <mergeCell ref="C10:N10"/>
    <mergeCell ref="C18:N18"/>
    <mergeCell ref="C26:N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89" zoomScaleNormal="89" workbookViewId="0">
      <pane xSplit="2" ySplit="4" topLeftCell="C26" activePane="bottomRight" state="frozen"/>
      <selection activeCell="C50" sqref="C50:N50"/>
      <selection pane="topRight" activeCell="C50" sqref="C50:N50"/>
      <selection pane="bottomLeft" activeCell="C50" sqref="C50:N50"/>
      <selection pane="bottomRight" activeCell="C50" sqref="C50:N50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9" width="14.42578125" style="21" customWidth="1"/>
    <col min="10" max="10" width="17.85546875" style="21" customWidth="1"/>
    <col min="11" max="12" width="18.28515625" style="21" customWidth="1"/>
    <col min="13" max="13" width="18.42578125" style="21" customWidth="1"/>
    <col min="14" max="14" width="17.7109375" style="21" customWidth="1"/>
    <col min="15" max="16384" width="9.140625" style="21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62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42.75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5">
      <c r="A4" s="63" t="s">
        <v>29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64"/>
      <c r="B5" s="25" t="s">
        <v>19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64"/>
      <c r="B6" s="25" t="s">
        <v>14</v>
      </c>
      <c r="C6" s="26">
        <v>78046371</v>
      </c>
      <c r="D6" s="26">
        <v>77495893</v>
      </c>
      <c r="E6" s="26">
        <f>81011012+230892+1060826</f>
        <v>82302730</v>
      </c>
      <c r="F6" s="26">
        <f>72343533+39149+690903</f>
        <v>73073585</v>
      </c>
      <c r="G6" s="26">
        <f>75266171+15046+498199</f>
        <v>75779416</v>
      </c>
      <c r="H6" s="26">
        <f>66741090+23310+449589</f>
        <v>67213989</v>
      </c>
      <c r="I6" s="26">
        <f>68711746+22137+461776</f>
        <v>69195659</v>
      </c>
      <c r="J6" s="26">
        <v>72035620.450000003</v>
      </c>
      <c r="K6" s="26">
        <v>73432138</v>
      </c>
      <c r="L6" s="26">
        <v>70942261</v>
      </c>
      <c r="M6" s="26">
        <v>77947324</v>
      </c>
      <c r="N6" s="26">
        <v>79415167</v>
      </c>
    </row>
    <row r="7" spans="1:14" x14ac:dyDescent="0.25">
      <c r="A7" s="64"/>
      <c r="B7" s="25" t="s">
        <v>15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x14ac:dyDescent="0.25">
      <c r="A8" s="64"/>
      <c r="B8" s="25" t="s">
        <v>16</v>
      </c>
      <c r="C8" s="26">
        <v>91178</v>
      </c>
      <c r="D8" s="26">
        <v>94267</v>
      </c>
      <c r="E8" s="26">
        <f>4904+88847</f>
        <v>93751</v>
      </c>
      <c r="F8" s="26">
        <f>3837+52188</f>
        <v>56025</v>
      </c>
      <c r="G8" s="26">
        <f>2656+41155</f>
        <v>43811</v>
      </c>
      <c r="H8" s="26">
        <f>3410+35313</f>
        <v>38723</v>
      </c>
      <c r="I8" s="26">
        <f>2637+27222</f>
        <v>29859</v>
      </c>
      <c r="J8" s="26">
        <v>29706</v>
      </c>
      <c r="K8" s="26">
        <v>36150</v>
      </c>
      <c r="L8" s="26">
        <v>56082</v>
      </c>
      <c r="M8" s="26">
        <v>73755</v>
      </c>
      <c r="N8" s="26">
        <v>109770</v>
      </c>
    </row>
    <row r="9" spans="1:14" x14ac:dyDescent="0.25">
      <c r="A9" s="64"/>
      <c r="B9" s="25" t="s">
        <v>17</v>
      </c>
      <c r="C9" s="26">
        <v>3598</v>
      </c>
      <c r="D9" s="26">
        <v>7808</v>
      </c>
      <c r="E9" s="26">
        <f>4050+671</f>
        <v>4721</v>
      </c>
      <c r="F9" s="26">
        <f>4770+55</f>
        <v>4825</v>
      </c>
      <c r="G9" s="26">
        <f>2310+33</f>
        <v>2343</v>
      </c>
      <c r="H9" s="26">
        <f>750+27</f>
        <v>777</v>
      </c>
      <c r="I9" s="26">
        <f>240+39</f>
        <v>279</v>
      </c>
      <c r="J9" s="26">
        <v>421</v>
      </c>
      <c r="K9" s="26">
        <v>409</v>
      </c>
      <c r="L9" s="26">
        <v>2132</v>
      </c>
      <c r="M9" s="26">
        <v>9176</v>
      </c>
      <c r="N9" s="26">
        <v>722</v>
      </c>
    </row>
    <row r="10" spans="1:14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1:14" x14ac:dyDescent="0.25">
      <c r="A11" s="64"/>
      <c r="B11" s="3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5">
      <c r="A12" s="63" t="s">
        <v>26</v>
      </c>
      <c r="B12" s="27"/>
      <c r="C12" s="28"/>
      <c r="D12" s="28"/>
      <c r="E12" s="28"/>
      <c r="F12" s="28"/>
      <c r="G12" s="28"/>
      <c r="H12" s="28"/>
      <c r="I12" s="37"/>
      <c r="J12" s="28"/>
      <c r="K12" s="28"/>
      <c r="L12" s="28"/>
      <c r="M12" s="28"/>
      <c r="N12" s="28"/>
    </row>
    <row r="13" spans="1:14" x14ac:dyDescent="0.25">
      <c r="A13" s="6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A14" s="64"/>
      <c r="B14" s="25" t="s">
        <v>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64"/>
      <c r="B15" s="25" t="s">
        <v>15</v>
      </c>
      <c r="C15" s="26">
        <v>8584</v>
      </c>
      <c r="D15" s="26">
        <v>10056</v>
      </c>
      <c r="E15" s="26">
        <v>2902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</row>
    <row r="16" spans="1:14" x14ac:dyDescent="0.25">
      <c r="A16" s="64"/>
      <c r="B16" s="25" t="s">
        <v>16</v>
      </c>
      <c r="C16" s="26">
        <v>4589</v>
      </c>
      <c r="D16" s="26">
        <v>3850</v>
      </c>
      <c r="E16" s="26">
        <v>4063</v>
      </c>
      <c r="F16" s="26">
        <v>20186</v>
      </c>
      <c r="G16" s="26">
        <v>4859</v>
      </c>
      <c r="H16" s="26">
        <v>3085</v>
      </c>
      <c r="I16" s="26">
        <v>2888</v>
      </c>
      <c r="J16" s="26">
        <v>2651</v>
      </c>
      <c r="K16" s="26">
        <v>3091</v>
      </c>
      <c r="L16" s="26">
        <v>3471</v>
      </c>
      <c r="M16" s="26">
        <v>3631</v>
      </c>
      <c r="N16" s="26">
        <v>3930</v>
      </c>
    </row>
    <row r="17" spans="1:14" x14ac:dyDescent="0.25">
      <c r="A17" s="64"/>
      <c r="B17" s="25" t="s">
        <v>17</v>
      </c>
      <c r="C17" s="26">
        <v>614</v>
      </c>
      <c r="D17" s="26">
        <v>555</v>
      </c>
      <c r="E17" s="26">
        <v>614</v>
      </c>
      <c r="F17" s="26">
        <v>594</v>
      </c>
      <c r="G17" s="26">
        <v>614</v>
      </c>
      <c r="H17" s="26">
        <v>594</v>
      </c>
      <c r="I17" s="26">
        <v>614</v>
      </c>
      <c r="J17" s="26">
        <v>614</v>
      </c>
      <c r="K17" s="26">
        <v>594</v>
      </c>
      <c r="L17" s="26">
        <v>614</v>
      </c>
      <c r="M17" s="26">
        <v>594</v>
      </c>
      <c r="N17" s="26">
        <v>614</v>
      </c>
    </row>
    <row r="18" spans="1:14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4" x14ac:dyDescent="0.25">
      <c r="A19" s="64"/>
      <c r="B19" s="30"/>
      <c r="C19" s="26">
        <v>5021</v>
      </c>
      <c r="D19" s="26">
        <v>5205</v>
      </c>
      <c r="E19" s="26">
        <v>4663</v>
      </c>
      <c r="F19" s="26">
        <v>4769</v>
      </c>
      <c r="G19" s="26">
        <v>5494</v>
      </c>
      <c r="H19" s="26">
        <v>5128</v>
      </c>
      <c r="I19" s="26">
        <v>5657</v>
      </c>
      <c r="J19" s="26">
        <v>6155</v>
      </c>
      <c r="K19" s="26">
        <v>11934</v>
      </c>
      <c r="L19" s="26">
        <v>5218</v>
      </c>
      <c r="M19" s="26">
        <v>5463</v>
      </c>
      <c r="N19" s="26">
        <v>4939</v>
      </c>
    </row>
    <row r="20" spans="1:14" x14ac:dyDescent="0.25">
      <c r="A20" s="63" t="s">
        <v>27</v>
      </c>
      <c r="B20" s="27"/>
      <c r="C20" s="28"/>
      <c r="D20" s="28"/>
      <c r="E20" s="28"/>
      <c r="F20" s="28"/>
      <c r="G20" s="28"/>
      <c r="H20" s="36"/>
      <c r="I20" s="36"/>
      <c r="J20" s="28"/>
      <c r="K20" s="28"/>
      <c r="L20" s="28"/>
      <c r="M20" s="28"/>
      <c r="N20" s="28"/>
    </row>
    <row r="21" spans="1:14" x14ac:dyDescent="0.25">
      <c r="A21" s="64"/>
      <c r="B21" s="25" t="s">
        <v>19</v>
      </c>
      <c r="C21" s="26"/>
      <c r="D21" s="26"/>
      <c r="E21" s="26"/>
      <c r="F21" s="26"/>
      <c r="G21" s="26"/>
      <c r="H21" s="35"/>
      <c r="I21" s="35"/>
      <c r="J21" s="26"/>
      <c r="K21" s="26"/>
      <c r="L21" s="26"/>
      <c r="M21" s="26"/>
      <c r="N21" s="26"/>
    </row>
    <row r="22" spans="1:14" x14ac:dyDescent="0.25">
      <c r="A22" s="64"/>
      <c r="B22" s="25" t="s">
        <v>14</v>
      </c>
      <c r="C22" s="26">
        <v>867954</v>
      </c>
      <c r="D22" s="26">
        <v>837891</v>
      </c>
      <c r="E22" s="26">
        <v>892112</v>
      </c>
      <c r="F22" s="26">
        <v>879280</v>
      </c>
      <c r="G22" s="26">
        <v>952766</v>
      </c>
      <c r="H22" s="26">
        <v>958739</v>
      </c>
      <c r="I22" s="26">
        <v>1089080</v>
      </c>
      <c r="J22" s="26">
        <v>1039787</v>
      </c>
      <c r="K22" s="26">
        <v>947845</v>
      </c>
      <c r="L22" s="26">
        <v>921305</v>
      </c>
      <c r="M22" s="26">
        <v>881720</v>
      </c>
      <c r="N22" s="26">
        <v>888566</v>
      </c>
    </row>
    <row r="23" spans="1:14" x14ac:dyDescent="0.25">
      <c r="A23" s="64"/>
      <c r="B23" s="25" t="s">
        <v>15</v>
      </c>
      <c r="C23" s="26">
        <v>81493</v>
      </c>
      <c r="D23" s="26">
        <v>144902</v>
      </c>
      <c r="E23" s="26">
        <v>82094</v>
      </c>
      <c r="F23" s="26">
        <v>39598</v>
      </c>
      <c r="G23" s="26">
        <v>8629</v>
      </c>
      <c r="H23" s="26">
        <v>1645</v>
      </c>
      <c r="I23" s="26">
        <v>1094</v>
      </c>
      <c r="J23" s="26">
        <v>1830</v>
      </c>
      <c r="K23" s="26">
        <v>1268</v>
      </c>
      <c r="L23" s="26">
        <v>3464</v>
      </c>
      <c r="M23" s="26">
        <v>10234</v>
      </c>
      <c r="N23" s="26">
        <v>16863</v>
      </c>
    </row>
    <row r="24" spans="1:14" x14ac:dyDescent="0.25">
      <c r="A24" s="64"/>
      <c r="B24" s="25" t="s">
        <v>16</v>
      </c>
      <c r="C24" s="26">
        <v>757942</v>
      </c>
      <c r="D24" s="26">
        <v>1044210</v>
      </c>
      <c r="E24" s="26">
        <f>502816+248313</f>
        <v>751129</v>
      </c>
      <c r="F24" s="26">
        <f>427984+204921</f>
        <v>632905</v>
      </c>
      <c r="G24" s="26">
        <v>512981</v>
      </c>
      <c r="H24" s="26">
        <v>494745</v>
      </c>
      <c r="I24" s="26">
        <v>504185</v>
      </c>
      <c r="J24" s="26">
        <v>517515</v>
      </c>
      <c r="K24" s="26">
        <v>552050</v>
      </c>
      <c r="L24" s="26">
        <v>643470</v>
      </c>
      <c r="M24" s="26">
        <v>735012</v>
      </c>
      <c r="N24" s="26">
        <v>779305</v>
      </c>
    </row>
    <row r="25" spans="1:14" x14ac:dyDescent="0.25">
      <c r="A25" s="64"/>
      <c r="B25" s="25" t="s">
        <v>17</v>
      </c>
      <c r="C25" s="26">
        <v>186566</v>
      </c>
      <c r="D25" s="26">
        <v>185373</v>
      </c>
      <c r="E25" s="26">
        <f>143080+28787</f>
        <v>171867</v>
      </c>
      <c r="F25" s="26">
        <f>114913+23043</f>
        <v>137956</v>
      </c>
      <c r="G25" s="26">
        <v>118303</v>
      </c>
      <c r="H25" s="26">
        <v>114675</v>
      </c>
      <c r="I25" s="26">
        <v>126687</v>
      </c>
      <c r="J25" s="26">
        <v>111436</v>
      </c>
      <c r="K25" s="26">
        <v>109461</v>
      </c>
      <c r="L25" s="26">
        <v>144846</v>
      </c>
      <c r="M25" s="26">
        <v>146670</v>
      </c>
      <c r="N25" s="26">
        <v>156529</v>
      </c>
    </row>
    <row r="26" spans="1:14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25">
      <c r="A27" s="64"/>
      <c r="B27" s="30"/>
      <c r="C27" s="26">
        <v>171919</v>
      </c>
      <c r="D27" s="26">
        <v>177472</v>
      </c>
      <c r="E27" s="26">
        <f>SUM('[5]Вологодская область'!$L$52:$L$56)</f>
        <v>417940</v>
      </c>
      <c r="F27" s="26">
        <v>161029</v>
      </c>
      <c r="G27" s="26">
        <v>203276</v>
      </c>
      <c r="H27" s="26">
        <v>239291</v>
      </c>
      <c r="I27" s="26">
        <v>202109</v>
      </c>
      <c r="J27" s="26">
        <v>195246</v>
      </c>
      <c r="K27" s="26">
        <v>217718</v>
      </c>
      <c r="L27" s="26">
        <v>185805</v>
      </c>
      <c r="M27" s="26">
        <v>159612</v>
      </c>
      <c r="N27" s="26">
        <v>168669</v>
      </c>
    </row>
    <row r="28" spans="1:14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4" x14ac:dyDescent="0.25">
      <c r="A29" s="64"/>
      <c r="B29" s="15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64"/>
      <c r="B30" s="15" t="s">
        <v>14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64"/>
      <c r="B31" s="15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64"/>
      <c r="B32" s="15" t="s">
        <v>16</v>
      </c>
      <c r="C32" s="16">
        <v>146984</v>
      </c>
      <c r="D32" s="16">
        <v>123966</v>
      </c>
      <c r="E32" s="16">
        <f>109689+12520</f>
        <v>122209</v>
      </c>
      <c r="F32" s="16">
        <f>89521+9282</f>
        <v>98803</v>
      </c>
      <c r="G32" s="16">
        <f>94774+5771</f>
        <v>100545</v>
      </c>
      <c r="H32" s="3">
        <f>94787+3410</f>
        <v>98197</v>
      </c>
      <c r="I32" s="16">
        <f>78182+1713</f>
        <v>79895</v>
      </c>
      <c r="J32" s="16">
        <v>93275</v>
      </c>
      <c r="K32" s="16">
        <v>101524</v>
      </c>
      <c r="L32" s="16">
        <v>118508</v>
      </c>
      <c r="M32" s="16">
        <v>141719</v>
      </c>
      <c r="N32" s="16">
        <v>129178</v>
      </c>
    </row>
    <row r="33" spans="1:14" x14ac:dyDescent="0.25">
      <c r="A33" s="64"/>
      <c r="B33" s="15" t="s">
        <v>17</v>
      </c>
      <c r="C33" s="16">
        <v>48764</v>
      </c>
      <c r="D33" s="16">
        <v>44277</v>
      </c>
      <c r="E33" s="16">
        <f>3464+37736+1204</f>
        <v>42404</v>
      </c>
      <c r="F33" s="16">
        <f>2037+30565+999</f>
        <v>33601</v>
      </c>
      <c r="G33" s="16">
        <f>929+28413+1027</f>
        <v>30369</v>
      </c>
      <c r="H33" s="3">
        <f>24911+356+1120</f>
        <v>26387</v>
      </c>
      <c r="I33" s="16">
        <f>23103+235+846</f>
        <v>24184</v>
      </c>
      <c r="J33" s="16">
        <v>22391</v>
      </c>
      <c r="K33" s="16">
        <v>26608</v>
      </c>
      <c r="L33" s="16">
        <v>30901</v>
      </c>
      <c r="M33" s="16">
        <v>39015</v>
      </c>
      <c r="N33" s="16">
        <v>49269</v>
      </c>
    </row>
    <row r="34" spans="1:14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4" x14ac:dyDescent="0.25">
      <c r="A35" s="64"/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5">
      <c r="A36" s="63" t="s">
        <v>31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</row>
    <row r="37" spans="1:14" x14ac:dyDescent="0.25">
      <c r="A37" s="64"/>
      <c r="B37" s="15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5">
      <c r="A38" s="64"/>
      <c r="B38" s="15" t="s">
        <v>14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64"/>
      <c r="B39" s="15" t="s">
        <v>15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64"/>
      <c r="B40" s="15" t="s">
        <v>16</v>
      </c>
      <c r="C40" s="16">
        <v>21583</v>
      </c>
      <c r="D40" s="16">
        <v>24642</v>
      </c>
      <c r="E40" s="16">
        <v>28239</v>
      </c>
      <c r="F40" s="16">
        <v>25163</v>
      </c>
      <c r="G40" s="16">
        <v>12436</v>
      </c>
      <c r="H40" s="3">
        <v>8315</v>
      </c>
      <c r="I40" s="16">
        <v>5325</v>
      </c>
      <c r="J40" s="16">
        <v>6123</v>
      </c>
      <c r="K40" s="16">
        <v>14297</v>
      </c>
      <c r="L40" s="16">
        <v>33753</v>
      </c>
      <c r="M40" s="16">
        <v>35427</v>
      </c>
      <c r="N40" s="16">
        <v>34173</v>
      </c>
    </row>
    <row r="41" spans="1:14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</row>
    <row r="43" spans="1:14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63" t="s">
        <v>32</v>
      </c>
      <c r="B44" s="65" t="s">
        <v>20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7"/>
    </row>
    <row r="45" spans="1:14" x14ac:dyDescent="0.25">
      <c r="A45" s="64"/>
      <c r="B45" s="15" t="s">
        <v>19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64"/>
      <c r="B46" s="15" t="s">
        <v>14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5">
      <c r="A47" s="64"/>
      <c r="B47" s="15" t="s">
        <v>15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5">
      <c r="A48" s="64"/>
      <c r="B48" s="15" t="s">
        <v>16</v>
      </c>
      <c r="C48" s="16">
        <v>2632</v>
      </c>
      <c r="D48" s="16">
        <v>4</v>
      </c>
      <c r="E48" s="16">
        <v>0</v>
      </c>
      <c r="F48" s="16">
        <v>0</v>
      </c>
      <c r="G48" s="16">
        <v>172</v>
      </c>
      <c r="H48" s="3">
        <v>1064</v>
      </c>
      <c r="I48" s="16">
        <v>82</v>
      </c>
      <c r="J48" s="16">
        <v>0</v>
      </c>
      <c r="K48" s="16">
        <v>84</v>
      </c>
      <c r="L48" s="16">
        <v>89</v>
      </c>
      <c r="M48" s="16">
        <v>1306</v>
      </c>
      <c r="N48" s="16">
        <v>2264</v>
      </c>
    </row>
    <row r="49" spans="1:14" x14ac:dyDescent="0.25">
      <c r="A49" s="64"/>
      <c r="B49" s="15" t="s">
        <v>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25">
      <c r="A50" s="64"/>
      <c r="B50" s="17"/>
      <c r="C50" s="68" t="s">
        <v>39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9"/>
    </row>
    <row r="51" spans="1:14" x14ac:dyDescent="0.25">
      <c r="A51" s="64"/>
      <c r="B51" s="1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70" t="s">
        <v>18</v>
      </c>
      <c r="B52" s="71"/>
      <c r="C52" s="31">
        <f>SUM(C5:C9,C11,C13:C17,C19,C21:C25,C27,C29:C33,C37:C41,C45:C49,C35,C43,C51)</f>
        <v>80445792</v>
      </c>
      <c r="D52" s="31">
        <f>SUM(D5:D9,D11,D13:D17,D19,D21:D25,D27,D29:D33,D37:D41,D45:D49,D35,D43,D51)</f>
        <v>80200371</v>
      </c>
      <c r="E52" s="31">
        <f t="shared" ref="E52:J52" si="0">SUM(E5:E9,E11,E13:E17,E19,E21:E25,E27,E29:E33,E37:E41,E45:E49,E35,E43,E51)</f>
        <v>84921438</v>
      </c>
      <c r="F52" s="31">
        <f>SUM(F5:F9,F11,F13:F17,F19,F21:F25,F27,F29:F33,F37:F41,F45:F49,F35,F43,F51)</f>
        <v>75168319</v>
      </c>
      <c r="G52" s="31">
        <f>SUM(G5:G9,G11,G13:G17,G19,G21:G25,G27,G29:G33,G37:G41,G45:G49,G35,G43,G51)</f>
        <v>77776014</v>
      </c>
      <c r="H52" s="31">
        <f t="shared" si="0"/>
        <v>69205354</v>
      </c>
      <c r="I52" s="31">
        <f t="shared" si="0"/>
        <v>71267597</v>
      </c>
      <c r="J52" s="31">
        <f t="shared" si="0"/>
        <v>74062770.450000003</v>
      </c>
      <c r="K52" s="31">
        <f>SUM(K5:K9,K11,K13:K17,K19,K21:K25,K27,K29:K33,K37:K41,K45:K49,K35,K43,K51)</f>
        <v>75455171</v>
      </c>
      <c r="L52" s="31">
        <f>SUM(L5:L9,L11,L13:L17,L19,L21:L25,L27,L29:L33,L37:L41,L45:L49,L35,L43,L51)</f>
        <v>73091919</v>
      </c>
      <c r="M52" s="31">
        <f>SUM(M5:M9,M11,M13:M17,M19,M21:M25,M27,M29:M33,M37:M41,M45:M49,M35,M43,M51)</f>
        <v>80190658</v>
      </c>
      <c r="N52" s="31">
        <f>SUM(N5:N9,N11,N13:N17,N19,N21:N25,N27,N29:N33,N37:N41,N45:N49,N35,N43,N51)</f>
        <v>81759958</v>
      </c>
    </row>
    <row r="53" spans="1:14" x14ac:dyDescent="0.25">
      <c r="C53" s="32"/>
      <c r="D53" s="32"/>
    </row>
    <row r="54" spans="1:14" x14ac:dyDescent="0.25">
      <c r="E54" s="32"/>
      <c r="G54" s="32"/>
    </row>
    <row r="55" spans="1:14" x14ac:dyDescent="0.25">
      <c r="D55" s="32"/>
      <c r="J55" s="32"/>
      <c r="N55" s="32"/>
    </row>
    <row r="56" spans="1:14" x14ac:dyDescent="0.25">
      <c r="G56" s="33"/>
      <c r="H56" s="32"/>
      <c r="L56" s="32"/>
      <c r="M56" s="32"/>
    </row>
    <row r="57" spans="1:14" x14ac:dyDescent="0.25">
      <c r="G57" s="34"/>
    </row>
    <row r="59" spans="1:14" x14ac:dyDescent="0.25">
      <c r="G59" s="33"/>
    </row>
    <row r="60" spans="1:14" x14ac:dyDescent="0.25">
      <c r="G60" s="33"/>
    </row>
  </sheetData>
  <mergeCells count="18">
    <mergeCell ref="A36:A43"/>
    <mergeCell ref="B36:N36"/>
    <mergeCell ref="A44:A51"/>
    <mergeCell ref="B44:N44"/>
    <mergeCell ref="A52:B52"/>
    <mergeCell ref="C42:N42"/>
    <mergeCell ref="C50:N50"/>
    <mergeCell ref="A28:A35"/>
    <mergeCell ref="B28:N28"/>
    <mergeCell ref="A2:N2"/>
    <mergeCell ref="A4:A11"/>
    <mergeCell ref="B4:N4"/>
    <mergeCell ref="A12:A19"/>
    <mergeCell ref="A20:A27"/>
    <mergeCell ref="C10:N10"/>
    <mergeCell ref="C18:N18"/>
    <mergeCell ref="C26:N26"/>
    <mergeCell ref="C34:N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70" zoomScaleNormal="70" workbookViewId="0">
      <pane xSplit="2" ySplit="4" topLeftCell="C5" activePane="bottomRight" state="frozen"/>
      <selection activeCell="C50" sqref="C50:N50"/>
      <selection pane="topRight" activeCell="C50" sqref="C50:N50"/>
      <selection pane="bottomLeft" activeCell="C50" sqref="C50:N50"/>
      <selection pane="bottomRight" activeCell="Q23" sqref="Q23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14" width="18.7109375" style="21" customWidth="1"/>
    <col min="15" max="15" width="9.140625" style="42"/>
    <col min="16" max="16" width="9.140625" style="21"/>
    <col min="17" max="17" width="11.140625" style="42" bestFit="1" customWidth="1"/>
    <col min="18" max="16384" width="9.140625" style="2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25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ht="42.75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7" x14ac:dyDescent="0.25">
      <c r="A4" s="63" t="s">
        <v>29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7" x14ac:dyDescent="0.25">
      <c r="A5" s="64"/>
      <c r="B5" s="25" t="s">
        <v>19</v>
      </c>
      <c r="C5" s="26">
        <v>296822</v>
      </c>
      <c r="D5" s="26">
        <v>261534</v>
      </c>
      <c r="E5" s="26">
        <v>221521</v>
      </c>
      <c r="F5" s="26">
        <v>121252</v>
      </c>
      <c r="G5" s="26">
        <v>96003</v>
      </c>
      <c r="H5" s="26">
        <v>30793</v>
      </c>
      <c r="I5" s="26">
        <v>31149</v>
      </c>
      <c r="J5" s="26">
        <v>50869</v>
      </c>
      <c r="K5" s="26">
        <v>26949</v>
      </c>
      <c r="L5" s="26">
        <v>71309</v>
      </c>
      <c r="M5" s="26">
        <v>180840</v>
      </c>
      <c r="N5" s="26">
        <v>667614</v>
      </c>
      <c r="O5" s="42">
        <f>N5/M5</f>
        <v>3.6917385534173857</v>
      </c>
      <c r="Q5" s="43">
        <f>AVERAGE(C5:N5)</f>
        <v>171387.91666666666</v>
      </c>
    </row>
    <row r="6" spans="1:17" x14ac:dyDescent="0.25">
      <c r="A6" s="64"/>
      <c r="B6" s="25" t="s">
        <v>14</v>
      </c>
      <c r="C6" s="26">
        <v>75547836</v>
      </c>
      <c r="D6" s="26">
        <v>65996668</v>
      </c>
      <c r="E6" s="26">
        <v>75242817</v>
      </c>
      <c r="F6" s="26">
        <v>71651990</v>
      </c>
      <c r="G6" s="26">
        <v>80736909</v>
      </c>
      <c r="H6" s="26">
        <v>70787236</v>
      </c>
      <c r="I6" s="26">
        <v>68679858</v>
      </c>
      <c r="J6" s="26">
        <v>65635275</v>
      </c>
      <c r="K6" s="26">
        <v>69010168</v>
      </c>
      <c r="L6" s="26">
        <v>74705740</v>
      </c>
      <c r="M6" s="26">
        <v>74579426</v>
      </c>
      <c r="N6" s="26">
        <v>79522173</v>
      </c>
      <c r="O6" s="42">
        <f>N6/M6</f>
        <v>1.0662749402227902</v>
      </c>
      <c r="Q6" s="43">
        <f t="shared" ref="Q6:Q40" si="0">AVERAGE(C6:N6)</f>
        <v>72674674.666666672</v>
      </c>
    </row>
    <row r="7" spans="1:17" x14ac:dyDescent="0.25">
      <c r="A7" s="64"/>
      <c r="B7" s="25" t="s">
        <v>15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Q7" s="43">
        <f>AVERAGE(C7:O7)</f>
        <v>0</v>
      </c>
    </row>
    <row r="8" spans="1:17" x14ac:dyDescent="0.25">
      <c r="A8" s="64"/>
      <c r="B8" s="25" t="s">
        <v>16</v>
      </c>
      <c r="C8" s="26">
        <v>319652</v>
      </c>
      <c r="D8" s="26">
        <v>87349</v>
      </c>
      <c r="E8" s="26">
        <v>85355</v>
      </c>
      <c r="F8" s="26">
        <v>55953</v>
      </c>
      <c r="G8" s="26">
        <v>43650</v>
      </c>
      <c r="H8" s="26">
        <v>31668</v>
      </c>
      <c r="I8" s="26">
        <v>38188</v>
      </c>
      <c r="J8" s="26">
        <v>43271</v>
      </c>
      <c r="K8" s="26">
        <v>54361</v>
      </c>
      <c r="L8" s="26">
        <v>127213</v>
      </c>
      <c r="M8" s="26">
        <v>82719</v>
      </c>
      <c r="N8" s="26">
        <v>105547</v>
      </c>
      <c r="O8" s="42">
        <f t="shared" ref="O8:O9" si="1">N8/M8</f>
        <v>1.2759704541882759</v>
      </c>
      <c r="Q8" s="43">
        <f t="shared" si="0"/>
        <v>89577.166666666672</v>
      </c>
    </row>
    <row r="9" spans="1:17" x14ac:dyDescent="0.25">
      <c r="A9" s="64"/>
      <c r="B9" s="25" t="s">
        <v>17</v>
      </c>
      <c r="C9" s="26">
        <v>31286</v>
      </c>
      <c r="D9" s="26">
        <v>5057</v>
      </c>
      <c r="E9" s="26">
        <v>4482</v>
      </c>
      <c r="F9" s="26">
        <v>4367</v>
      </c>
      <c r="G9" s="26">
        <v>2117</v>
      </c>
      <c r="H9" s="26">
        <v>151</v>
      </c>
      <c r="I9" s="26">
        <v>52</v>
      </c>
      <c r="J9" s="26">
        <v>79</v>
      </c>
      <c r="K9" s="26">
        <v>68</v>
      </c>
      <c r="L9" s="26">
        <v>2217</v>
      </c>
      <c r="M9" s="26">
        <v>4558</v>
      </c>
      <c r="N9" s="26">
        <v>3527</v>
      </c>
      <c r="O9" s="42">
        <f t="shared" si="1"/>
        <v>0.7738043001316367</v>
      </c>
      <c r="Q9" s="43">
        <f t="shared" si="0"/>
        <v>4830.083333333333</v>
      </c>
    </row>
    <row r="10" spans="1:17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  <c r="Q10" s="43"/>
    </row>
    <row r="11" spans="1:17" x14ac:dyDescent="0.25">
      <c r="A11" s="64"/>
      <c r="B11" s="3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Q11" s="43"/>
    </row>
    <row r="12" spans="1:17" x14ac:dyDescent="0.25">
      <c r="A12" s="63" t="s">
        <v>26</v>
      </c>
      <c r="B12" s="27"/>
      <c r="C12" s="28"/>
      <c r="D12" s="28"/>
      <c r="E12" s="28"/>
      <c r="F12" s="28"/>
      <c r="G12" s="28"/>
      <c r="H12" s="28"/>
      <c r="I12" s="38"/>
      <c r="J12" s="28"/>
      <c r="K12" s="28"/>
      <c r="L12" s="28"/>
      <c r="M12" s="28"/>
      <c r="N12" s="28"/>
      <c r="Q12" s="43"/>
    </row>
    <row r="13" spans="1:17" x14ac:dyDescent="0.25">
      <c r="A13" s="6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Q13" s="43"/>
    </row>
    <row r="14" spans="1:17" x14ac:dyDescent="0.25">
      <c r="A14" s="64"/>
      <c r="B14" s="25" t="s">
        <v>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Q14" s="43"/>
    </row>
    <row r="15" spans="1:17" x14ac:dyDescent="0.25">
      <c r="A15" s="64"/>
      <c r="B15" s="25" t="s">
        <v>15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/>
      <c r="M15" s="26">
        <v>0</v>
      </c>
      <c r="N15" s="26">
        <v>0</v>
      </c>
      <c r="Q15" s="43">
        <f t="shared" si="0"/>
        <v>0</v>
      </c>
    </row>
    <row r="16" spans="1:17" x14ac:dyDescent="0.25">
      <c r="A16" s="64"/>
      <c r="B16" s="25" t="s">
        <v>16</v>
      </c>
      <c r="C16" s="26">
        <v>4237</v>
      </c>
      <c r="D16" s="26">
        <v>3856</v>
      </c>
      <c r="E16" s="26">
        <v>3997</v>
      </c>
      <c r="F16" s="26">
        <v>5580</v>
      </c>
      <c r="G16" s="26">
        <v>4189</v>
      </c>
      <c r="H16" s="26">
        <v>3200</v>
      </c>
      <c r="I16" s="26">
        <v>3075</v>
      </c>
      <c r="J16" s="26">
        <v>3509</v>
      </c>
      <c r="K16" s="26">
        <v>3623</v>
      </c>
      <c r="L16" s="26">
        <v>5941</v>
      </c>
      <c r="M16" s="26">
        <v>7658</v>
      </c>
      <c r="N16" s="26">
        <v>6105</v>
      </c>
      <c r="O16" s="42">
        <f t="shared" ref="O16:O17" si="2">N16/M16</f>
        <v>0.79720553669365368</v>
      </c>
      <c r="Q16" s="43">
        <f t="shared" si="0"/>
        <v>4580.833333333333</v>
      </c>
    </row>
    <row r="17" spans="1:17" x14ac:dyDescent="0.25">
      <c r="A17" s="64"/>
      <c r="B17" s="25" t="s">
        <v>17</v>
      </c>
      <c r="C17" s="26">
        <v>614</v>
      </c>
      <c r="D17" s="26">
        <v>555</v>
      </c>
      <c r="E17" s="26">
        <v>614</v>
      </c>
      <c r="F17" s="26">
        <v>594</v>
      </c>
      <c r="G17" s="26">
        <v>614</v>
      </c>
      <c r="H17" s="26">
        <v>594</v>
      </c>
      <c r="I17" s="26">
        <v>614</v>
      </c>
      <c r="J17" s="26">
        <v>614</v>
      </c>
      <c r="K17" s="26">
        <v>594</v>
      </c>
      <c r="L17" s="26">
        <v>614</v>
      </c>
      <c r="M17" s="26">
        <v>594</v>
      </c>
      <c r="N17" s="26">
        <v>614</v>
      </c>
      <c r="O17" s="42">
        <f t="shared" si="2"/>
        <v>1.0336700336700337</v>
      </c>
      <c r="Q17" s="43">
        <f t="shared" si="0"/>
        <v>602.41666666666663</v>
      </c>
    </row>
    <row r="18" spans="1:17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Q18" s="43"/>
    </row>
    <row r="19" spans="1:17" x14ac:dyDescent="0.25">
      <c r="A19" s="64"/>
      <c r="B19" s="30"/>
      <c r="C19" s="26">
        <v>6067</v>
      </c>
      <c r="D19" s="26">
        <v>6944</v>
      </c>
      <c r="E19" s="26">
        <v>4863</v>
      </c>
      <c r="F19" s="26">
        <v>4242</v>
      </c>
      <c r="G19" s="26">
        <v>5193</v>
      </c>
      <c r="H19" s="26">
        <v>5945</v>
      </c>
      <c r="I19" s="26">
        <v>6090</v>
      </c>
      <c r="J19" s="26">
        <v>9296</v>
      </c>
      <c r="K19" s="26">
        <v>5761</v>
      </c>
      <c r="L19" s="26">
        <v>4627</v>
      </c>
      <c r="M19" s="26">
        <v>3082</v>
      </c>
      <c r="N19" s="26">
        <v>6050</v>
      </c>
      <c r="O19" s="42">
        <f>N19/M19</f>
        <v>1.963011031797534</v>
      </c>
      <c r="Q19" s="43">
        <f t="shared" si="0"/>
        <v>5680</v>
      </c>
    </row>
    <row r="20" spans="1:17" x14ac:dyDescent="0.25">
      <c r="A20" s="63" t="s">
        <v>27</v>
      </c>
      <c r="B20" s="27"/>
      <c r="C20" s="28"/>
      <c r="D20" s="28"/>
      <c r="E20" s="28"/>
      <c r="F20" s="28"/>
      <c r="G20" s="28"/>
      <c r="H20" s="36"/>
      <c r="I20" s="36"/>
      <c r="J20" s="28"/>
      <c r="K20" s="28"/>
      <c r="L20" s="28"/>
      <c r="M20" s="28"/>
      <c r="N20" s="28"/>
      <c r="Q20" s="43"/>
    </row>
    <row r="21" spans="1:17" x14ac:dyDescent="0.25">
      <c r="A21" s="64"/>
      <c r="B21" s="25" t="s">
        <v>19</v>
      </c>
      <c r="C21" s="26"/>
      <c r="D21" s="26"/>
      <c r="E21" s="26"/>
      <c r="F21" s="26"/>
      <c r="G21" s="26"/>
      <c r="H21" s="35"/>
      <c r="I21" s="35"/>
      <c r="J21" s="26"/>
      <c r="K21" s="26"/>
      <c r="L21" s="26"/>
      <c r="M21" s="26"/>
      <c r="N21" s="26"/>
      <c r="Q21" s="43"/>
    </row>
    <row r="22" spans="1:17" x14ac:dyDescent="0.25">
      <c r="A22" s="64"/>
      <c r="B22" s="25" t="s">
        <v>14</v>
      </c>
      <c r="C22" s="26">
        <v>909203</v>
      </c>
      <c r="D22" s="26">
        <v>818832</v>
      </c>
      <c r="E22" s="26">
        <v>890926</v>
      </c>
      <c r="F22" s="26">
        <v>881174</v>
      </c>
      <c r="G22" s="26">
        <v>969009</v>
      </c>
      <c r="H22" s="26">
        <v>1021749</v>
      </c>
      <c r="I22" s="26">
        <v>1038125</v>
      </c>
      <c r="J22" s="26">
        <v>1007996</v>
      </c>
      <c r="K22" s="26">
        <v>941415</v>
      </c>
      <c r="L22" s="26">
        <v>968910</v>
      </c>
      <c r="M22" s="26">
        <v>912098</v>
      </c>
      <c r="N22" s="26">
        <v>977507</v>
      </c>
      <c r="O22" s="42">
        <f t="shared" ref="O22:O25" si="3">N22/M22</f>
        <v>1.071712688768093</v>
      </c>
      <c r="Q22" s="43">
        <f t="shared" si="0"/>
        <v>944745.33333333337</v>
      </c>
    </row>
    <row r="23" spans="1:17" x14ac:dyDescent="0.25">
      <c r="A23" s="64"/>
      <c r="B23" s="25" t="s">
        <v>15</v>
      </c>
      <c r="C23" s="26">
        <v>79536</v>
      </c>
      <c r="D23" s="26">
        <v>32342</v>
      </c>
      <c r="E23" s="26">
        <v>43641</v>
      </c>
      <c r="F23" s="26">
        <v>21568</v>
      </c>
      <c r="G23" s="26">
        <v>6500</v>
      </c>
      <c r="H23" s="26">
        <v>2278</v>
      </c>
      <c r="I23" s="26">
        <v>2681</v>
      </c>
      <c r="J23" s="26">
        <v>1484</v>
      </c>
      <c r="K23" s="26">
        <v>1970</v>
      </c>
      <c r="L23" s="26">
        <v>6376</v>
      </c>
      <c r="M23" s="26">
        <v>60188</v>
      </c>
      <c r="N23" s="26">
        <v>80840</v>
      </c>
      <c r="O23" s="42">
        <f t="shared" si="3"/>
        <v>1.3431248753904432</v>
      </c>
      <c r="Q23" s="43">
        <f t="shared" si="0"/>
        <v>28283.666666666668</v>
      </c>
    </row>
    <row r="24" spans="1:17" x14ac:dyDescent="0.25">
      <c r="A24" s="64"/>
      <c r="B24" s="25" t="s">
        <v>16</v>
      </c>
      <c r="C24" s="26">
        <v>576173</v>
      </c>
      <c r="D24" s="26">
        <v>717498</v>
      </c>
      <c r="E24" s="26">
        <v>734279</v>
      </c>
      <c r="F24" s="26">
        <v>627992</v>
      </c>
      <c r="G24" s="26">
        <v>569938</v>
      </c>
      <c r="H24" s="26">
        <v>540324</v>
      </c>
      <c r="I24" s="26">
        <v>575549</v>
      </c>
      <c r="J24" s="26">
        <v>592188</v>
      </c>
      <c r="K24" s="26">
        <v>604396</v>
      </c>
      <c r="L24" s="26">
        <v>675585</v>
      </c>
      <c r="M24" s="26">
        <v>701459</v>
      </c>
      <c r="N24" s="26">
        <v>659727</v>
      </c>
      <c r="O24" s="42">
        <f t="shared" si="3"/>
        <v>0.94050685784914012</v>
      </c>
      <c r="Q24" s="43">
        <f t="shared" si="0"/>
        <v>631259</v>
      </c>
    </row>
    <row r="25" spans="1:17" x14ac:dyDescent="0.25">
      <c r="A25" s="64"/>
      <c r="B25" s="25" t="s">
        <v>17</v>
      </c>
      <c r="C25" s="26">
        <v>149885</v>
      </c>
      <c r="D25" s="26">
        <v>173303</v>
      </c>
      <c r="E25" s="26">
        <v>157076</v>
      </c>
      <c r="F25" s="26">
        <v>122225</v>
      </c>
      <c r="G25" s="26">
        <v>113011</v>
      </c>
      <c r="H25" s="26">
        <v>120946</v>
      </c>
      <c r="I25" s="26">
        <v>126704</v>
      </c>
      <c r="J25" s="26">
        <v>126530</v>
      </c>
      <c r="K25" s="26">
        <v>126390</v>
      </c>
      <c r="L25" s="26">
        <v>126930</v>
      </c>
      <c r="M25" s="26">
        <v>148696</v>
      </c>
      <c r="N25" s="26">
        <v>143172</v>
      </c>
      <c r="O25" s="42">
        <f t="shared" si="3"/>
        <v>0.96285037929735839</v>
      </c>
      <c r="Q25" s="43">
        <f t="shared" si="0"/>
        <v>136239</v>
      </c>
    </row>
    <row r="26" spans="1:17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Q26" s="43"/>
    </row>
    <row r="27" spans="1:17" x14ac:dyDescent="0.25">
      <c r="A27" s="64"/>
      <c r="B27" s="30"/>
      <c r="C27" s="26">
        <v>186143</v>
      </c>
      <c r="D27" s="26">
        <v>148437</v>
      </c>
      <c r="E27" s="26">
        <v>143956</v>
      </c>
      <c r="F27" s="26">
        <v>139043</v>
      </c>
      <c r="G27" s="26">
        <v>212783</v>
      </c>
      <c r="H27" s="26">
        <v>187621</v>
      </c>
      <c r="I27" s="26">
        <v>202613</v>
      </c>
      <c r="J27" s="26">
        <v>190571</v>
      </c>
      <c r="K27" s="26">
        <v>161644</v>
      </c>
      <c r="L27" s="26">
        <v>147281</v>
      </c>
      <c r="M27" s="26">
        <v>139054</v>
      </c>
      <c r="N27" s="26">
        <v>136378</v>
      </c>
      <c r="O27" s="42">
        <f>N27/M27</f>
        <v>0.98075567765040916</v>
      </c>
      <c r="Q27" s="43">
        <f t="shared" si="0"/>
        <v>166293.66666666666</v>
      </c>
    </row>
    <row r="28" spans="1:17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Q28" s="43"/>
    </row>
    <row r="29" spans="1:17" x14ac:dyDescent="0.25">
      <c r="A29" s="64"/>
      <c r="B29" s="15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Q29" s="43"/>
    </row>
    <row r="30" spans="1:17" x14ac:dyDescent="0.25">
      <c r="A30" s="64"/>
      <c r="B30" s="15" t="s">
        <v>14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Q30" s="43"/>
    </row>
    <row r="31" spans="1:17" x14ac:dyDescent="0.25">
      <c r="A31" s="64"/>
      <c r="B31" s="15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Q31" s="43"/>
    </row>
    <row r="32" spans="1:17" x14ac:dyDescent="0.25">
      <c r="A32" s="64"/>
      <c r="B32" s="15" t="s">
        <v>16</v>
      </c>
      <c r="C32" s="16">
        <v>155072</v>
      </c>
      <c r="D32" s="16">
        <v>132675</v>
      </c>
      <c r="E32" s="16">
        <v>133081</v>
      </c>
      <c r="F32" s="16">
        <v>112933</v>
      </c>
      <c r="G32" s="16">
        <v>131859</v>
      </c>
      <c r="H32" s="3">
        <v>65438</v>
      </c>
      <c r="I32" s="16">
        <v>59723</v>
      </c>
      <c r="J32" s="16">
        <v>84284</v>
      </c>
      <c r="K32" s="16">
        <v>89985</v>
      </c>
      <c r="L32" s="16">
        <v>123459</v>
      </c>
      <c r="M32" s="16">
        <v>140230</v>
      </c>
      <c r="N32" s="16">
        <v>148253</v>
      </c>
      <c r="O32" s="42">
        <f t="shared" ref="O32:O33" si="4">N32/M32</f>
        <v>1.057213149825287</v>
      </c>
      <c r="Q32" s="43">
        <f t="shared" si="0"/>
        <v>114749.33333333333</v>
      </c>
    </row>
    <row r="33" spans="1:17" x14ac:dyDescent="0.25">
      <c r="A33" s="64"/>
      <c r="B33" s="15" t="s">
        <v>17</v>
      </c>
      <c r="C33" s="16">
        <v>48209</v>
      </c>
      <c r="D33" s="16">
        <v>35611</v>
      </c>
      <c r="E33" s="16">
        <v>33488</v>
      </c>
      <c r="F33" s="16">
        <v>26299</v>
      </c>
      <c r="G33" s="16">
        <v>20819</v>
      </c>
      <c r="H33" s="3">
        <v>17026</v>
      </c>
      <c r="I33" s="16">
        <v>19890</v>
      </c>
      <c r="J33" s="16">
        <v>22973</v>
      </c>
      <c r="K33" s="16">
        <v>22734</v>
      </c>
      <c r="L33" s="16">
        <v>31066</v>
      </c>
      <c r="M33" s="16">
        <v>33063</v>
      </c>
      <c r="N33" s="16">
        <v>30571</v>
      </c>
      <c r="O33" s="42">
        <f t="shared" si="4"/>
        <v>0.92462873907388921</v>
      </c>
      <c r="Q33" s="43">
        <f t="shared" si="0"/>
        <v>28479.083333333332</v>
      </c>
    </row>
    <row r="34" spans="1:17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  <c r="Q34" s="43"/>
    </row>
    <row r="35" spans="1:17" x14ac:dyDescent="0.25">
      <c r="A35" s="64"/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Q35" s="43"/>
    </row>
    <row r="36" spans="1:17" x14ac:dyDescent="0.25">
      <c r="A36" s="63" t="s">
        <v>32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  <c r="Q36" s="43"/>
    </row>
    <row r="37" spans="1:17" x14ac:dyDescent="0.25">
      <c r="A37" s="64"/>
      <c r="B37" s="15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Q37" s="43"/>
    </row>
    <row r="38" spans="1:17" x14ac:dyDescent="0.25">
      <c r="A38" s="64"/>
      <c r="B38" s="15" t="s">
        <v>14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Q38" s="43"/>
    </row>
    <row r="39" spans="1:17" x14ac:dyDescent="0.25">
      <c r="A39" s="64"/>
      <c r="B39" s="15" t="s">
        <v>15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Q39" s="43"/>
    </row>
    <row r="40" spans="1:17" x14ac:dyDescent="0.25">
      <c r="A40" s="64"/>
      <c r="B40" s="15" t="s">
        <v>16</v>
      </c>
      <c r="C40" s="16">
        <v>503</v>
      </c>
      <c r="D40" s="16">
        <v>954</v>
      </c>
      <c r="E40" s="16">
        <v>760</v>
      </c>
      <c r="F40" s="16">
        <v>1170</v>
      </c>
      <c r="G40" s="16">
        <v>1602</v>
      </c>
      <c r="H40" s="3">
        <v>27</v>
      </c>
      <c r="I40" s="16">
        <v>50</v>
      </c>
      <c r="J40" s="16">
        <v>233</v>
      </c>
      <c r="K40" s="16">
        <v>749</v>
      </c>
      <c r="L40" s="16">
        <v>561</v>
      </c>
      <c r="M40" s="16">
        <v>12</v>
      </c>
      <c r="N40" s="16">
        <v>0</v>
      </c>
      <c r="O40" s="42">
        <f>N40/M40</f>
        <v>0</v>
      </c>
      <c r="Q40" s="43">
        <f t="shared" si="0"/>
        <v>551.75</v>
      </c>
    </row>
    <row r="41" spans="1:17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Q41" s="43"/>
    </row>
    <row r="42" spans="1:17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Q42" s="43"/>
    </row>
    <row r="43" spans="1:17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Q43" s="43"/>
    </row>
    <row r="44" spans="1:17" x14ac:dyDescent="0.25">
      <c r="A44" s="70" t="s">
        <v>18</v>
      </c>
      <c r="B44" s="71"/>
      <c r="C44" s="31">
        <f>SUM(C5:C9,C11,C13:C17,C19,C21:C25,C27,C29:C33,C37:C41,C35,C43)</f>
        <v>78311238</v>
      </c>
      <c r="D44" s="31">
        <f t="shared" ref="D44:N44" si="5">SUM(D5:D9,D11,D13:D17,D19,D21:D25,D27,D29:D33,D37:D41,D35,D43)</f>
        <v>68421615</v>
      </c>
      <c r="E44" s="31">
        <f t="shared" si="5"/>
        <v>77700856</v>
      </c>
      <c r="F44" s="31">
        <f t="shared" si="5"/>
        <v>73776382</v>
      </c>
      <c r="G44" s="31">
        <f t="shared" si="5"/>
        <v>82914196</v>
      </c>
      <c r="H44" s="31">
        <f t="shared" si="5"/>
        <v>72814996</v>
      </c>
      <c r="I44" s="31">
        <f t="shared" si="5"/>
        <v>70784361</v>
      </c>
      <c r="J44" s="31">
        <f t="shared" si="5"/>
        <v>67769172</v>
      </c>
      <c r="K44" s="31">
        <f t="shared" si="5"/>
        <v>71050807</v>
      </c>
      <c r="L44" s="31">
        <f t="shared" si="5"/>
        <v>76997829</v>
      </c>
      <c r="M44" s="31">
        <f t="shared" si="5"/>
        <v>76993677</v>
      </c>
      <c r="N44" s="31">
        <f t="shared" si="5"/>
        <v>82488078</v>
      </c>
    </row>
    <row r="45" spans="1:17" x14ac:dyDescent="0.25">
      <c r="C45" s="32"/>
      <c r="D45" s="32"/>
    </row>
    <row r="46" spans="1:17" x14ac:dyDescent="0.25">
      <c r="E46" s="32"/>
      <c r="G46" s="32"/>
    </row>
    <row r="47" spans="1:17" x14ac:dyDescent="0.25">
      <c r="D47" s="32"/>
      <c r="J47" s="32"/>
      <c r="N47" s="32"/>
    </row>
    <row r="48" spans="1:17" x14ac:dyDescent="0.25">
      <c r="G48" s="33"/>
      <c r="H48" s="32"/>
      <c r="L48" s="32"/>
      <c r="M48" s="32"/>
    </row>
    <row r="49" spans="7:7" x14ac:dyDescent="0.25">
      <c r="G49" s="34"/>
    </row>
    <row r="51" spans="7:7" x14ac:dyDescent="0.25">
      <c r="G51" s="33"/>
    </row>
    <row r="52" spans="7:7" x14ac:dyDescent="0.25">
      <c r="G52" s="33"/>
    </row>
  </sheetData>
  <mergeCells count="15">
    <mergeCell ref="A36:A43"/>
    <mergeCell ref="B36:N36"/>
    <mergeCell ref="A44:B44"/>
    <mergeCell ref="A28:A35"/>
    <mergeCell ref="B28:N28"/>
    <mergeCell ref="C34:N34"/>
    <mergeCell ref="C42:N42"/>
    <mergeCell ref="A2:N2"/>
    <mergeCell ref="A4:A11"/>
    <mergeCell ref="B4:N4"/>
    <mergeCell ref="A12:A19"/>
    <mergeCell ref="A20:A27"/>
    <mergeCell ref="C10:N10"/>
    <mergeCell ref="C18:N18"/>
    <mergeCell ref="C26:N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40" sqref="W40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6" width="18.7109375" style="21" customWidth="1"/>
    <col min="7" max="7" width="18.7109375" style="21" hidden="1" customWidth="1"/>
    <col min="8" max="8" width="18.7109375" style="21" customWidth="1"/>
    <col min="9" max="9" width="18.7109375" style="21" hidden="1" customWidth="1"/>
    <col min="10" max="10" width="18.7109375" style="21" customWidth="1"/>
    <col min="11" max="11" width="18.7109375" style="21" hidden="1" customWidth="1"/>
    <col min="12" max="12" width="18.7109375" style="21" customWidth="1"/>
    <col min="13" max="13" width="18.7109375" style="21" hidden="1" customWidth="1"/>
    <col min="14" max="14" width="18.7109375" style="21" customWidth="1"/>
    <col min="15" max="15" width="18.7109375" style="21" hidden="1" customWidth="1"/>
    <col min="16" max="16" width="18.7109375" style="21" customWidth="1"/>
    <col min="17" max="17" width="18.7109375" style="21" hidden="1" customWidth="1"/>
    <col min="18" max="18" width="18.7109375" style="21" customWidth="1"/>
    <col min="19" max="19" width="18.7109375" style="21" hidden="1" customWidth="1"/>
    <col min="20" max="20" width="18.7109375" style="21" customWidth="1"/>
    <col min="21" max="21" width="18.7109375" style="21" hidden="1" customWidth="1"/>
    <col min="22" max="22" width="18.7109375" style="21" customWidth="1"/>
    <col min="23" max="23" width="9.140625" style="42"/>
    <col min="24" max="16384" width="9.140625" style="2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3" x14ac:dyDescent="0.25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3" ht="42.75" x14ac:dyDescent="0.25">
      <c r="A3" s="22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/>
      <c r="H3" s="24" t="s">
        <v>6</v>
      </c>
      <c r="I3" s="24"/>
      <c r="J3" s="24" t="s">
        <v>7</v>
      </c>
      <c r="K3" s="24"/>
      <c r="L3" s="24" t="s">
        <v>8</v>
      </c>
      <c r="M3" s="24"/>
      <c r="N3" s="24" t="s">
        <v>9</v>
      </c>
      <c r="O3" s="24"/>
      <c r="P3" s="24" t="s">
        <v>10</v>
      </c>
      <c r="Q3" s="24"/>
      <c r="R3" s="24" t="s">
        <v>11</v>
      </c>
      <c r="S3" s="24"/>
      <c r="T3" s="24" t="s">
        <v>12</v>
      </c>
      <c r="U3" s="24"/>
      <c r="V3" s="24" t="s">
        <v>13</v>
      </c>
    </row>
    <row r="4" spans="1:23" x14ac:dyDescent="0.25">
      <c r="A4" s="63" t="s">
        <v>29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</row>
    <row r="5" spans="1:23" x14ac:dyDescent="0.25">
      <c r="A5" s="64"/>
      <c r="B5" s="25" t="s">
        <v>19</v>
      </c>
      <c r="C5" s="26">
        <v>479861</v>
      </c>
      <c r="D5" s="26">
        <v>296156</v>
      </c>
      <c r="E5" s="26">
        <v>228485</v>
      </c>
      <c r="F5" s="26">
        <v>172816</v>
      </c>
      <c r="G5" s="40">
        <v>0.79176425955860519</v>
      </c>
      <c r="H5" s="26">
        <v>127461</v>
      </c>
      <c r="I5" s="26">
        <v>0.32075039321687865</v>
      </c>
      <c r="J5" s="26">
        <v>81497</v>
      </c>
      <c r="K5" s="26">
        <v>1.0115610690741401</v>
      </c>
      <c r="L5" s="26">
        <v>100976</v>
      </c>
      <c r="M5" s="26">
        <v>1.6330861343863365</v>
      </c>
      <c r="N5" s="26">
        <v>82831</v>
      </c>
      <c r="O5" s="26">
        <v>0.52977255302836701</v>
      </c>
      <c r="P5" s="26">
        <v>77737</v>
      </c>
      <c r="Q5" s="26">
        <v>2.6460722104716314</v>
      </c>
      <c r="R5" s="26">
        <v>135379</v>
      </c>
      <c r="S5" s="26">
        <v>2.5360052728267117</v>
      </c>
      <c r="T5" s="26">
        <v>286184</v>
      </c>
      <c r="U5" s="26">
        <v>3.6917385534173857</v>
      </c>
      <c r="V5" s="26">
        <v>451396</v>
      </c>
      <c r="W5" s="42">
        <f>'2021'!C5/'2020'!V5</f>
        <v>1</v>
      </c>
    </row>
    <row r="6" spans="1:23" x14ac:dyDescent="0.25">
      <c r="A6" s="64"/>
      <c r="B6" s="25" t="s">
        <v>14</v>
      </c>
      <c r="C6" s="26">
        <v>83247714</v>
      </c>
      <c r="D6" s="26">
        <v>79662867</v>
      </c>
      <c r="E6" s="26">
        <v>87782275</v>
      </c>
      <c r="F6" s="26">
        <v>79172275</v>
      </c>
      <c r="G6" s="40">
        <v>1.1267922775068773</v>
      </c>
      <c r="H6" s="26">
        <v>77545357</v>
      </c>
      <c r="I6" s="26">
        <v>0.87676425660536494</v>
      </c>
      <c r="J6" s="26">
        <v>69359401</v>
      </c>
      <c r="K6" s="26">
        <v>0.97022940689476844</v>
      </c>
      <c r="L6" s="26">
        <v>64071205</v>
      </c>
      <c r="M6" s="26">
        <v>0.95566992872932266</v>
      </c>
      <c r="N6" s="26">
        <v>61705051</v>
      </c>
      <c r="O6" s="26">
        <v>1.0514188902232831</v>
      </c>
      <c r="P6" s="26">
        <v>67390834</v>
      </c>
      <c r="Q6" s="26">
        <v>1.0825323595792435</v>
      </c>
      <c r="R6" s="26">
        <v>77307014</v>
      </c>
      <c r="S6" s="26">
        <v>0.99830917945528685</v>
      </c>
      <c r="T6" s="26">
        <v>81166167</v>
      </c>
      <c r="U6" s="26">
        <v>1.0662749402227902</v>
      </c>
      <c r="V6" s="26">
        <v>83767925</v>
      </c>
      <c r="W6" s="42">
        <f>'2021'!C6/'2020'!V6</f>
        <v>0.93348036256120703</v>
      </c>
    </row>
    <row r="7" spans="1:23" x14ac:dyDescent="0.25">
      <c r="A7" s="64"/>
      <c r="B7" s="25" t="s">
        <v>15</v>
      </c>
      <c r="C7" s="26">
        <v>0</v>
      </c>
      <c r="D7" s="26">
        <v>0</v>
      </c>
      <c r="E7" s="26">
        <v>0</v>
      </c>
      <c r="F7" s="26">
        <v>0</v>
      </c>
      <c r="G7" s="40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/>
      <c r="R7" s="26">
        <v>0</v>
      </c>
      <c r="S7" s="26">
        <v>0</v>
      </c>
      <c r="T7" s="26">
        <v>0</v>
      </c>
      <c r="U7" s="26"/>
      <c r="V7" s="26">
        <v>0</v>
      </c>
      <c r="W7" s="42" t="e">
        <f>'2021'!C7/'2020'!V7</f>
        <v>#DIV/0!</v>
      </c>
    </row>
    <row r="8" spans="1:23" x14ac:dyDescent="0.25">
      <c r="A8" s="64"/>
      <c r="B8" s="25" t="s">
        <v>16</v>
      </c>
      <c r="C8" s="26">
        <v>100077</v>
      </c>
      <c r="D8" s="26">
        <v>85566</v>
      </c>
      <c r="E8" s="26">
        <v>90876</v>
      </c>
      <c r="F8" s="26">
        <v>79699</v>
      </c>
      <c r="G8" s="40">
        <v>0.78011902847032333</v>
      </c>
      <c r="H8" s="26">
        <v>58842</v>
      </c>
      <c r="I8" s="26">
        <v>0.72549828178694153</v>
      </c>
      <c r="J8" s="26">
        <v>30606</v>
      </c>
      <c r="K8" s="26">
        <v>1.2058860679550334</v>
      </c>
      <c r="L8" s="26">
        <v>31971</v>
      </c>
      <c r="M8" s="26">
        <v>1.1331046402011102</v>
      </c>
      <c r="N8" s="26">
        <v>30925</v>
      </c>
      <c r="O8" s="26">
        <v>1.2562917427376303</v>
      </c>
      <c r="P8" s="26">
        <v>50692</v>
      </c>
      <c r="Q8" s="26">
        <v>2.3401519471680063</v>
      </c>
      <c r="R8" s="26">
        <v>64702</v>
      </c>
      <c r="S8" s="26">
        <v>0.65024014841250499</v>
      </c>
      <c r="T8" s="26">
        <v>94830</v>
      </c>
      <c r="U8" s="26">
        <v>1.2759704541882759</v>
      </c>
      <c r="V8" s="26">
        <v>158481</v>
      </c>
      <c r="W8" s="42">
        <f>'2021'!C8/'2020'!V8</f>
        <v>1</v>
      </c>
    </row>
    <row r="9" spans="1:23" x14ac:dyDescent="0.25">
      <c r="A9" s="64"/>
      <c r="B9" s="25" t="s">
        <v>17</v>
      </c>
      <c r="C9" s="26">
        <v>6232</v>
      </c>
      <c r="D9" s="26">
        <v>6927</v>
      </c>
      <c r="E9" s="26">
        <v>3757</v>
      </c>
      <c r="F9" s="26">
        <v>21568</v>
      </c>
      <c r="G9" s="40">
        <v>0.4847721547973437</v>
      </c>
      <c r="H9" s="26">
        <v>2575</v>
      </c>
      <c r="I9" s="26">
        <v>7.1327350023618327E-2</v>
      </c>
      <c r="J9" s="26">
        <v>557</v>
      </c>
      <c r="K9" s="26">
        <v>0.3443708609271523</v>
      </c>
      <c r="L9" s="26">
        <v>332</v>
      </c>
      <c r="M9" s="26">
        <v>1.5192307692307692</v>
      </c>
      <c r="N9" s="26">
        <v>463</v>
      </c>
      <c r="O9" s="26">
        <v>0.86075949367088611</v>
      </c>
      <c r="P9" s="26">
        <v>958</v>
      </c>
      <c r="Q9" s="26">
        <v>32.602941176470587</v>
      </c>
      <c r="R9" s="26">
        <v>678</v>
      </c>
      <c r="S9" s="26">
        <v>2.0559314388813714</v>
      </c>
      <c r="T9" s="26">
        <v>14568</v>
      </c>
      <c r="U9" s="26">
        <v>0.7738043001316367</v>
      </c>
      <c r="V9" s="26">
        <v>6546</v>
      </c>
      <c r="W9" s="42">
        <f>'2021'!C9/'2020'!V9</f>
        <v>1</v>
      </c>
    </row>
    <row r="10" spans="1:23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9"/>
    </row>
    <row r="11" spans="1:23" x14ac:dyDescent="0.25">
      <c r="A11" s="64"/>
      <c r="B11" s="3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3" x14ac:dyDescent="0.25">
      <c r="A12" s="63" t="s">
        <v>37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39"/>
      <c r="M12" s="44"/>
      <c r="N12" s="28"/>
      <c r="O12" s="28"/>
      <c r="P12" s="28"/>
      <c r="Q12" s="28"/>
      <c r="R12" s="28"/>
      <c r="S12" s="28"/>
      <c r="T12" s="28"/>
      <c r="U12" s="28"/>
      <c r="V12" s="29"/>
    </row>
    <row r="13" spans="1:23" x14ac:dyDescent="0.25">
      <c r="A13" s="64"/>
      <c r="B13" s="25" t="s">
        <v>19</v>
      </c>
      <c r="C13" s="26"/>
      <c r="D13" s="26"/>
      <c r="E13" s="26"/>
      <c r="F13" s="26"/>
      <c r="G13" s="40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3" x14ac:dyDescent="0.25">
      <c r="A14" s="64"/>
      <c r="B14" s="25" t="s">
        <v>14</v>
      </c>
      <c r="C14" s="26"/>
      <c r="D14" s="26"/>
      <c r="E14" s="26"/>
      <c r="F14" s="26"/>
      <c r="G14" s="40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3" x14ac:dyDescent="0.25">
      <c r="A15" s="64"/>
      <c r="B15" s="25" t="s">
        <v>15</v>
      </c>
      <c r="C15" s="26">
        <v>0</v>
      </c>
      <c r="D15" s="26">
        <v>0</v>
      </c>
      <c r="E15" s="26">
        <v>0</v>
      </c>
      <c r="F15" s="26">
        <v>0</v>
      </c>
      <c r="G15" s="40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/>
      <c r="N15" s="26">
        <v>0</v>
      </c>
      <c r="O15" s="26">
        <v>0</v>
      </c>
      <c r="P15" s="26">
        <v>0</v>
      </c>
      <c r="Q15" s="26"/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42" t="e">
        <f>'2021'!C15/'2020'!V15</f>
        <v>#DIV/0!</v>
      </c>
    </row>
    <row r="16" spans="1:23" x14ac:dyDescent="0.25">
      <c r="A16" s="64"/>
      <c r="B16" s="25" t="s">
        <v>16</v>
      </c>
      <c r="C16" s="26">
        <v>6560</v>
      </c>
      <c r="D16" s="26">
        <v>5469</v>
      </c>
      <c r="E16" s="26">
        <v>6465</v>
      </c>
      <c r="F16" s="26">
        <v>4030.9999999999995</v>
      </c>
      <c r="G16" s="40">
        <v>0.75071684587813625</v>
      </c>
      <c r="H16" s="26">
        <v>5122</v>
      </c>
      <c r="I16" s="26">
        <v>0.76390546669849602</v>
      </c>
      <c r="J16" s="26">
        <v>4950</v>
      </c>
      <c r="K16" s="26">
        <v>0.9609375</v>
      </c>
      <c r="L16" s="26">
        <v>3740</v>
      </c>
      <c r="M16" s="26">
        <v>1.1411382113821138</v>
      </c>
      <c r="N16" s="26">
        <v>3286</v>
      </c>
      <c r="O16" s="26">
        <v>1.0324878882872612</v>
      </c>
      <c r="P16" s="26">
        <v>4043.9999999999995</v>
      </c>
      <c r="Q16" s="26">
        <v>1.6398012696660227</v>
      </c>
      <c r="R16" s="26">
        <v>4248</v>
      </c>
      <c r="S16" s="26">
        <v>1.2890085844133985</v>
      </c>
      <c r="T16" s="26">
        <v>4268</v>
      </c>
      <c r="U16" s="26">
        <v>0.79720553669365368</v>
      </c>
      <c r="V16" s="26">
        <v>4728</v>
      </c>
      <c r="W16" s="42">
        <f>'2021'!C16/'2020'!V16</f>
        <v>0.95008460236886638</v>
      </c>
    </row>
    <row r="17" spans="1:23" x14ac:dyDescent="0.25">
      <c r="A17" s="64"/>
      <c r="B17" s="25" t="s">
        <v>17</v>
      </c>
      <c r="C17" s="26">
        <v>614</v>
      </c>
      <c r="D17" s="26">
        <v>574</v>
      </c>
      <c r="E17" s="26">
        <v>614</v>
      </c>
      <c r="F17" s="26">
        <v>594</v>
      </c>
      <c r="G17" s="40">
        <v>1.0336700336700337</v>
      </c>
      <c r="H17" s="26">
        <v>614</v>
      </c>
      <c r="I17" s="26">
        <v>0.96742671009771986</v>
      </c>
      <c r="J17" s="26">
        <v>594</v>
      </c>
      <c r="K17" s="26">
        <v>1.0336700336700337</v>
      </c>
      <c r="L17" s="26">
        <v>614</v>
      </c>
      <c r="M17" s="26">
        <v>1</v>
      </c>
      <c r="N17" s="26">
        <v>614</v>
      </c>
      <c r="O17" s="26">
        <v>0.96742671009771986</v>
      </c>
      <c r="P17" s="26">
        <v>594</v>
      </c>
      <c r="Q17" s="26">
        <v>1.0336700336700337</v>
      </c>
      <c r="R17" s="26">
        <v>614</v>
      </c>
      <c r="S17" s="26">
        <v>0.96742671009771986</v>
      </c>
      <c r="T17" s="26">
        <v>594</v>
      </c>
      <c r="U17" s="26">
        <v>1.0336700336700337</v>
      </c>
      <c r="V17" s="26">
        <v>614</v>
      </c>
      <c r="W17" s="42">
        <f>'2021'!C17/'2020'!V17</f>
        <v>1</v>
      </c>
    </row>
    <row r="18" spans="1:23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</row>
    <row r="19" spans="1:23" x14ac:dyDescent="0.25">
      <c r="A19" s="64"/>
      <c r="B19" s="30"/>
      <c r="C19" s="26">
        <v>5194</v>
      </c>
      <c r="D19" s="26">
        <v>9412</v>
      </c>
      <c r="E19" s="26">
        <v>4360</v>
      </c>
      <c r="F19" s="26">
        <v>5032</v>
      </c>
      <c r="G19" s="40">
        <v>1.2241867043847241</v>
      </c>
      <c r="H19" s="26">
        <v>5010</v>
      </c>
      <c r="I19" s="26">
        <v>1.1448103215867513</v>
      </c>
      <c r="J19" s="26">
        <v>8287</v>
      </c>
      <c r="K19" s="26">
        <v>1.024390243902439</v>
      </c>
      <c r="L19" s="26">
        <v>3160</v>
      </c>
      <c r="M19" s="26">
        <v>1.5264367816091955</v>
      </c>
      <c r="N19" s="26">
        <v>8466</v>
      </c>
      <c r="O19" s="26">
        <v>0.61972891566265065</v>
      </c>
      <c r="P19" s="26">
        <v>6843</v>
      </c>
      <c r="Q19" s="26">
        <v>0.80315917375455648</v>
      </c>
      <c r="R19" s="26">
        <v>6712</v>
      </c>
      <c r="S19" s="26">
        <v>0.66609033931272965</v>
      </c>
      <c r="T19" s="26">
        <v>6546</v>
      </c>
      <c r="U19" s="26">
        <v>1.963011031797534</v>
      </c>
      <c r="V19" s="26">
        <v>6231</v>
      </c>
      <c r="W19" s="42">
        <f>'2021'!C19/'2020'!V19</f>
        <v>0.94768095008826836</v>
      </c>
    </row>
    <row r="20" spans="1:23" x14ac:dyDescent="0.25">
      <c r="A20" s="63" t="s">
        <v>38</v>
      </c>
      <c r="B20" s="27"/>
      <c r="C20" s="28"/>
      <c r="D20" s="28"/>
      <c r="E20" s="28"/>
      <c r="F20" s="28"/>
      <c r="G20" s="28"/>
      <c r="H20" s="28"/>
      <c r="I20" s="28"/>
      <c r="J20" s="36"/>
      <c r="K20" s="36"/>
      <c r="L20" s="36"/>
      <c r="M20" s="36"/>
      <c r="N20" s="28"/>
      <c r="O20" s="28"/>
      <c r="P20" s="28"/>
      <c r="Q20" s="28"/>
      <c r="R20" s="28"/>
      <c r="S20" s="28"/>
      <c r="T20" s="28"/>
      <c r="U20" s="28"/>
      <c r="V20" s="29"/>
    </row>
    <row r="21" spans="1:23" x14ac:dyDescent="0.25">
      <c r="A21" s="64"/>
      <c r="B21" s="25" t="s">
        <v>19</v>
      </c>
      <c r="C21" s="26"/>
      <c r="D21" s="26"/>
      <c r="E21" s="26"/>
      <c r="F21" s="26"/>
      <c r="G21" s="26"/>
      <c r="H21" s="26"/>
      <c r="I21" s="26"/>
      <c r="J21" s="35"/>
      <c r="K21" s="35"/>
      <c r="L21" s="35"/>
      <c r="M21" s="35"/>
      <c r="N21" s="26"/>
      <c r="O21" s="26"/>
      <c r="P21" s="26"/>
      <c r="Q21" s="26"/>
      <c r="R21" s="26"/>
      <c r="S21" s="26"/>
      <c r="T21" s="26"/>
      <c r="U21" s="26"/>
      <c r="V21" s="26"/>
    </row>
    <row r="22" spans="1:23" x14ac:dyDescent="0.25">
      <c r="A22" s="64"/>
      <c r="B22" s="25" t="s">
        <v>14</v>
      </c>
      <c r="C22" s="26">
        <v>971841</v>
      </c>
      <c r="D22" s="26">
        <v>935548</v>
      </c>
      <c r="E22" s="26">
        <v>972477</v>
      </c>
      <c r="F22" s="26">
        <v>948614</v>
      </c>
      <c r="G22" s="40">
        <v>1.0996795184605992</v>
      </c>
      <c r="H22" s="26">
        <v>1029586</v>
      </c>
      <c r="I22" s="26">
        <v>1.0544267390705349</v>
      </c>
      <c r="J22" s="26">
        <v>1101540</v>
      </c>
      <c r="K22" s="26">
        <v>1.0160274196500314</v>
      </c>
      <c r="L22" s="26">
        <v>1149791</v>
      </c>
      <c r="M22" s="26">
        <v>0.9709774834437086</v>
      </c>
      <c r="N22" s="26">
        <v>1093158</v>
      </c>
      <c r="O22" s="26">
        <v>0.93394715852047028</v>
      </c>
      <c r="P22" s="26">
        <v>1010344</v>
      </c>
      <c r="Q22" s="26">
        <v>1.0292060355953538</v>
      </c>
      <c r="R22" s="26">
        <v>1004068</v>
      </c>
      <c r="S22" s="26">
        <v>0.94136503906451574</v>
      </c>
      <c r="T22" s="26">
        <v>937309</v>
      </c>
      <c r="U22" s="26">
        <v>1.071712688768093</v>
      </c>
      <c r="V22" s="26">
        <v>961080</v>
      </c>
      <c r="W22" s="42">
        <f>'2021'!C22/'2020'!V22</f>
        <v>1.0063491072543389</v>
      </c>
    </row>
    <row r="23" spans="1:23" x14ac:dyDescent="0.25">
      <c r="A23" s="64"/>
      <c r="B23" s="25" t="s">
        <v>15</v>
      </c>
      <c r="C23" s="26">
        <v>75621</v>
      </c>
      <c r="D23" s="26">
        <v>45061</v>
      </c>
      <c r="E23" s="26">
        <v>42680</v>
      </c>
      <c r="F23" s="26">
        <v>15450</v>
      </c>
      <c r="G23" s="40">
        <v>0.30137240356083084</v>
      </c>
      <c r="H23" s="26">
        <v>5297</v>
      </c>
      <c r="I23" s="26">
        <v>0.35046153846153844</v>
      </c>
      <c r="J23" s="26">
        <v>2333</v>
      </c>
      <c r="K23" s="26">
        <v>1.1769095697980685</v>
      </c>
      <c r="L23" s="26">
        <v>2108</v>
      </c>
      <c r="M23" s="26">
        <v>0.55352480417754568</v>
      </c>
      <c r="N23" s="26">
        <v>2224</v>
      </c>
      <c r="O23" s="26">
        <v>1.3274932614555257</v>
      </c>
      <c r="P23" s="26">
        <v>3360</v>
      </c>
      <c r="Q23" s="26">
        <v>3.2365482233502538</v>
      </c>
      <c r="R23" s="26">
        <v>15031</v>
      </c>
      <c r="S23" s="26">
        <v>9.439774153074028</v>
      </c>
      <c r="T23" s="26">
        <v>15162</v>
      </c>
      <c r="U23" s="26">
        <v>1.3431248753904432</v>
      </c>
      <c r="V23" s="26">
        <v>23095</v>
      </c>
      <c r="W23" s="42">
        <f>'2021'!C23/'2020'!V23</f>
        <v>0.71335786966875947</v>
      </c>
    </row>
    <row r="24" spans="1:23" x14ac:dyDescent="0.25">
      <c r="A24" s="64"/>
      <c r="B24" s="25" t="s">
        <v>16</v>
      </c>
      <c r="C24" s="26">
        <v>670503</v>
      </c>
      <c r="D24" s="26">
        <v>681902</v>
      </c>
      <c r="E24" s="26">
        <v>665309</v>
      </c>
      <c r="F24" s="26">
        <v>578483</v>
      </c>
      <c r="G24" s="40">
        <v>0.90755614721206634</v>
      </c>
      <c r="H24" s="26">
        <v>507618</v>
      </c>
      <c r="I24" s="26">
        <v>0.94803996224150699</v>
      </c>
      <c r="J24" s="26">
        <v>498912</v>
      </c>
      <c r="K24" s="26">
        <v>1.0651923660618443</v>
      </c>
      <c r="L24" s="26">
        <v>505707</v>
      </c>
      <c r="M24" s="26">
        <v>1.0289097887408369</v>
      </c>
      <c r="N24" s="26">
        <v>536329</v>
      </c>
      <c r="O24" s="26">
        <v>1.020615074942417</v>
      </c>
      <c r="P24" s="26">
        <v>554308</v>
      </c>
      <c r="Q24" s="26">
        <v>1.1177853592677649</v>
      </c>
      <c r="R24" s="26">
        <v>615687</v>
      </c>
      <c r="S24" s="26">
        <v>1.0382986596801291</v>
      </c>
      <c r="T24" s="26">
        <v>644994</v>
      </c>
      <c r="U24" s="26">
        <v>0.94050685784914012</v>
      </c>
      <c r="V24" s="26">
        <v>832286.00000000116</v>
      </c>
      <c r="W24" s="42">
        <f>'2021'!C24/'2020'!V24</f>
        <v>0.91163253977598924</v>
      </c>
    </row>
    <row r="25" spans="1:23" x14ac:dyDescent="0.25">
      <c r="A25" s="64"/>
      <c r="B25" s="25" t="s">
        <v>17</v>
      </c>
      <c r="C25" s="26">
        <v>125671.35</v>
      </c>
      <c r="D25" s="26">
        <v>134263</v>
      </c>
      <c r="E25" s="26">
        <v>125722</v>
      </c>
      <c r="F25" s="26">
        <v>98804</v>
      </c>
      <c r="G25" s="40">
        <v>0.92461444058089592</v>
      </c>
      <c r="H25" s="26">
        <v>87651</v>
      </c>
      <c r="I25" s="26">
        <v>1.0702144039075843</v>
      </c>
      <c r="J25" s="26">
        <v>77124</v>
      </c>
      <c r="K25" s="26">
        <v>1.0476080234154086</v>
      </c>
      <c r="L25" s="26">
        <v>89739</v>
      </c>
      <c r="M25" s="26">
        <v>0.99862672054552337</v>
      </c>
      <c r="N25" s="26">
        <v>93641</v>
      </c>
      <c r="O25" s="26">
        <v>0.99889354303327271</v>
      </c>
      <c r="P25" s="26">
        <v>98885</v>
      </c>
      <c r="Q25" s="26">
        <v>1.0042724899121767</v>
      </c>
      <c r="R25" s="26">
        <v>97974</v>
      </c>
      <c r="S25" s="26">
        <v>1.1714803434964154</v>
      </c>
      <c r="T25" s="26">
        <v>106664</v>
      </c>
      <c r="U25" s="26">
        <v>0.96285037929735839</v>
      </c>
      <c r="V25" s="26">
        <v>121742</v>
      </c>
      <c r="W25" s="42">
        <f>'2021'!C25/'2020'!V25</f>
        <v>1.0693022950173316</v>
      </c>
    </row>
    <row r="26" spans="1:23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9"/>
    </row>
    <row r="27" spans="1:23" x14ac:dyDescent="0.25">
      <c r="A27" s="64"/>
      <c r="B27" s="30"/>
      <c r="C27" s="26">
        <v>147486</v>
      </c>
      <c r="D27" s="26">
        <v>142031</v>
      </c>
      <c r="E27" s="26">
        <v>136933</v>
      </c>
      <c r="F27" s="26">
        <v>195940</v>
      </c>
      <c r="G27" s="40">
        <v>1.5303395352516846</v>
      </c>
      <c r="H27" s="26">
        <v>247771</v>
      </c>
      <c r="I27" s="26">
        <v>0.8817480719794345</v>
      </c>
      <c r="J27" s="26">
        <v>202080</v>
      </c>
      <c r="K27" s="26">
        <v>1.0799057674780541</v>
      </c>
      <c r="L27" s="26">
        <v>191733</v>
      </c>
      <c r="M27" s="26">
        <v>0.94056649869455566</v>
      </c>
      <c r="N27" s="26">
        <v>217212</v>
      </c>
      <c r="O27" s="26">
        <v>0.84820880406777521</v>
      </c>
      <c r="P27" s="26">
        <v>202247</v>
      </c>
      <c r="Q27" s="26">
        <v>0.91114424290415974</v>
      </c>
      <c r="R27" s="26">
        <v>178558</v>
      </c>
      <c r="S27" s="26">
        <v>0.94414079209130841</v>
      </c>
      <c r="T27" s="26">
        <v>149734</v>
      </c>
      <c r="U27" s="26">
        <v>0.98075567765040916</v>
      </c>
      <c r="V27" s="26">
        <v>151451</v>
      </c>
      <c r="W27" s="42">
        <f>'2021'!C27/'2020'!V27</f>
        <v>1.0527233230549815</v>
      </c>
    </row>
    <row r="28" spans="1:23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</row>
    <row r="29" spans="1:23" x14ac:dyDescent="0.25">
      <c r="A29" s="64"/>
      <c r="B29" s="15" t="s">
        <v>19</v>
      </c>
      <c r="C29" s="16"/>
      <c r="D29" s="16"/>
      <c r="E29" s="16"/>
      <c r="F29" s="16"/>
      <c r="G29" s="41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 x14ac:dyDescent="0.25">
      <c r="A30" s="64"/>
      <c r="B30" s="15" t="s">
        <v>14</v>
      </c>
      <c r="C30" s="16"/>
      <c r="D30" s="16"/>
      <c r="E30" s="16"/>
      <c r="F30" s="16"/>
      <c r="G30" s="41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 x14ac:dyDescent="0.25">
      <c r="A31" s="64"/>
      <c r="B31" s="15" t="s">
        <v>15</v>
      </c>
      <c r="C31" s="16"/>
      <c r="D31" s="16"/>
      <c r="E31" s="16"/>
      <c r="F31" s="16"/>
      <c r="G31" s="41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3" x14ac:dyDescent="0.25">
      <c r="A32" s="64"/>
      <c r="B32" s="15" t="s">
        <v>16</v>
      </c>
      <c r="C32" s="16">
        <v>161689</v>
      </c>
      <c r="D32" s="16">
        <v>95903</v>
      </c>
      <c r="E32" s="16">
        <v>85485</v>
      </c>
      <c r="F32" s="16">
        <v>91925</v>
      </c>
      <c r="G32" s="41">
        <v>1.1675860908680369</v>
      </c>
      <c r="H32" s="16">
        <v>93833</v>
      </c>
      <c r="I32" s="16">
        <v>0.49627253353961426</v>
      </c>
      <c r="J32" s="3">
        <v>48713</v>
      </c>
      <c r="K32" s="3">
        <v>0.9126654237598949</v>
      </c>
      <c r="L32" s="16">
        <v>75192</v>
      </c>
      <c r="M32" s="16">
        <v>1.4112485976926812</v>
      </c>
      <c r="N32" s="16">
        <v>75508</v>
      </c>
      <c r="O32" s="16">
        <v>1.0676403587869583</v>
      </c>
      <c r="P32" s="16">
        <v>102897</v>
      </c>
      <c r="Q32" s="16">
        <v>1.3719953325554259</v>
      </c>
      <c r="R32" s="16">
        <v>126670</v>
      </c>
      <c r="S32" s="16">
        <v>1.1358426684162353</v>
      </c>
      <c r="T32" s="16">
        <v>125730</v>
      </c>
      <c r="U32" s="16">
        <v>1.057213149825287</v>
      </c>
      <c r="V32" s="16">
        <v>143990</v>
      </c>
      <c r="W32" s="42">
        <f>'2021'!C32/'2020'!V32</f>
        <v>1</v>
      </c>
    </row>
    <row r="33" spans="1:23" x14ac:dyDescent="0.25">
      <c r="A33" s="64"/>
      <c r="B33" s="15" t="s">
        <v>17</v>
      </c>
      <c r="C33" s="16">
        <v>30383</v>
      </c>
      <c r="D33" s="16">
        <v>33589</v>
      </c>
      <c r="E33" s="16">
        <v>27542</v>
      </c>
      <c r="F33" s="16">
        <v>17165</v>
      </c>
      <c r="G33" s="41">
        <v>0.79162705806304423</v>
      </c>
      <c r="H33" s="16">
        <v>17371</v>
      </c>
      <c r="I33" s="16">
        <v>0.81781065372976602</v>
      </c>
      <c r="J33" s="3">
        <v>11611</v>
      </c>
      <c r="K33" s="3">
        <v>1.1682133208034771</v>
      </c>
      <c r="L33" s="16">
        <v>15193</v>
      </c>
      <c r="M33" s="16">
        <v>1.1550025138260431</v>
      </c>
      <c r="N33" s="16">
        <v>15294</v>
      </c>
      <c r="O33" s="16">
        <v>0.98959648282766721</v>
      </c>
      <c r="P33" s="16">
        <v>17490</v>
      </c>
      <c r="Q33" s="16">
        <v>1.3664995161432216</v>
      </c>
      <c r="R33" s="16">
        <v>16451</v>
      </c>
      <c r="S33" s="16">
        <v>1.0642824953325178</v>
      </c>
      <c r="T33" s="16">
        <v>20891</v>
      </c>
      <c r="U33" s="16">
        <v>0.92462873907388921</v>
      </c>
      <c r="V33" s="16">
        <v>20542</v>
      </c>
      <c r="W33" s="42">
        <f>'2021'!C33/'2020'!V33</f>
        <v>1</v>
      </c>
    </row>
    <row r="34" spans="1:23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</row>
    <row r="35" spans="1:23" x14ac:dyDescent="0.25">
      <c r="A35" s="64"/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3" x14ac:dyDescent="0.25">
      <c r="A36" s="63" t="s">
        <v>32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7"/>
    </row>
    <row r="37" spans="1:23" x14ac:dyDescent="0.25">
      <c r="A37" s="64"/>
      <c r="B37" s="15" t="s">
        <v>19</v>
      </c>
      <c r="C37" s="16"/>
      <c r="D37" s="16"/>
      <c r="E37" s="16"/>
      <c r="F37" s="16"/>
      <c r="G37" s="41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3" x14ac:dyDescent="0.25">
      <c r="A38" s="64"/>
      <c r="B38" s="15" t="s">
        <v>14</v>
      </c>
      <c r="C38" s="16"/>
      <c r="D38" s="16"/>
      <c r="E38" s="16"/>
      <c r="F38" s="16"/>
      <c r="G38" s="41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3" x14ac:dyDescent="0.25">
      <c r="A39" s="64"/>
      <c r="B39" s="15" t="s">
        <v>15</v>
      </c>
      <c r="C39" s="16"/>
      <c r="D39" s="16"/>
      <c r="E39" s="16"/>
      <c r="F39" s="16"/>
      <c r="G39" s="41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3" x14ac:dyDescent="0.25">
      <c r="A40" s="64"/>
      <c r="B40" s="15" t="s">
        <v>16</v>
      </c>
      <c r="C40" s="16">
        <v>69</v>
      </c>
      <c r="D40" s="16">
        <v>606</v>
      </c>
      <c r="E40" s="16">
        <v>377</v>
      </c>
      <c r="F40" s="16">
        <v>554</v>
      </c>
      <c r="G40" s="41">
        <v>1.3692307692307693</v>
      </c>
      <c r="H40" s="16">
        <v>39</v>
      </c>
      <c r="I40" s="16">
        <v>1.6853932584269662E-2</v>
      </c>
      <c r="J40" s="3">
        <v>449</v>
      </c>
      <c r="K40" s="3">
        <v>1.8518518518518519</v>
      </c>
      <c r="L40" s="16">
        <v>0</v>
      </c>
      <c r="M40" s="16">
        <v>4.66</v>
      </c>
      <c r="N40" s="16">
        <v>1328</v>
      </c>
      <c r="O40" s="16">
        <v>3.2145922746781115</v>
      </c>
      <c r="P40" s="16">
        <v>387</v>
      </c>
      <c r="Q40" s="16">
        <v>0.74899866488651534</v>
      </c>
      <c r="R40" s="16">
        <v>252</v>
      </c>
      <c r="S40" s="16">
        <v>2.1390374331550801E-2</v>
      </c>
      <c r="T40" s="16">
        <v>1772</v>
      </c>
      <c r="U40" s="16">
        <v>0</v>
      </c>
      <c r="V40" s="16">
        <v>1951</v>
      </c>
      <c r="W40" s="42">
        <f>'2021'!C40/'2020'!V40</f>
        <v>1</v>
      </c>
    </row>
    <row r="41" spans="1:23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3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1:23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3" x14ac:dyDescent="0.25">
      <c r="A44" s="70" t="s">
        <v>18</v>
      </c>
      <c r="B44" s="71"/>
      <c r="C44" s="31">
        <f>SUM(C5:C9,C11,C13:C17,C19,C21:C25,C27,C29:C33,,C37:C41,C35,C43)</f>
        <v>86029515.349999994</v>
      </c>
      <c r="D44" s="31">
        <f t="shared" ref="D44:V44" si="0">SUM(D5:D9,D11,D13:D17,D19,D21:D25,D27,D29:D33,,D37:D41,D35,D43)</f>
        <v>82135874</v>
      </c>
      <c r="E44" s="31">
        <f t="shared" si="0"/>
        <v>90173357</v>
      </c>
      <c r="F44" s="31">
        <f t="shared" si="0"/>
        <v>81402950</v>
      </c>
      <c r="G44" s="31"/>
      <c r="H44" s="31">
        <f t="shared" si="0"/>
        <v>79734147</v>
      </c>
      <c r="I44" s="31"/>
      <c r="J44" s="31">
        <f t="shared" si="0"/>
        <v>71428654</v>
      </c>
      <c r="K44" s="31"/>
      <c r="L44" s="31">
        <f t="shared" si="0"/>
        <v>66241461</v>
      </c>
      <c r="M44" s="31"/>
      <c r="N44" s="31">
        <f t="shared" si="0"/>
        <v>63866330</v>
      </c>
      <c r="O44" s="31"/>
      <c r="P44" s="31">
        <f t="shared" si="0"/>
        <v>69521620</v>
      </c>
      <c r="Q44" s="31"/>
      <c r="R44" s="31">
        <f t="shared" si="0"/>
        <v>79574038</v>
      </c>
      <c r="S44" s="31"/>
      <c r="T44" s="31">
        <f t="shared" si="0"/>
        <v>83575413</v>
      </c>
      <c r="U44" s="31"/>
      <c r="V44" s="31">
        <f t="shared" si="0"/>
        <v>86652058</v>
      </c>
    </row>
    <row r="45" spans="1:23" x14ac:dyDescent="0.25">
      <c r="C45" s="32"/>
      <c r="D45" s="32"/>
    </row>
    <row r="46" spans="1:23" x14ac:dyDescent="0.25">
      <c r="E46" s="32"/>
      <c r="H46" s="32"/>
      <c r="I46" s="32"/>
    </row>
    <row r="47" spans="1:23" x14ac:dyDescent="0.25">
      <c r="D47" s="32"/>
      <c r="N47" s="32"/>
      <c r="O47" s="32"/>
      <c r="V47" s="32"/>
    </row>
    <row r="48" spans="1:23" x14ac:dyDescent="0.25">
      <c r="H48" s="33"/>
      <c r="I48" s="33"/>
      <c r="J48" s="32"/>
      <c r="K48" s="32"/>
      <c r="R48" s="32"/>
      <c r="S48" s="32"/>
      <c r="T48" s="32"/>
      <c r="U48" s="32"/>
    </row>
    <row r="49" spans="8:9" x14ac:dyDescent="0.25">
      <c r="H49" s="34"/>
      <c r="I49" s="34"/>
    </row>
    <row r="51" spans="8:9" x14ac:dyDescent="0.25">
      <c r="H51" s="33"/>
      <c r="I51" s="33"/>
    </row>
    <row r="52" spans="8:9" x14ac:dyDescent="0.25">
      <c r="H52" s="33"/>
      <c r="I52" s="33"/>
    </row>
  </sheetData>
  <mergeCells count="15">
    <mergeCell ref="A2:V2"/>
    <mergeCell ref="A4:A11"/>
    <mergeCell ref="B4:V4"/>
    <mergeCell ref="A12:A19"/>
    <mergeCell ref="A20:A27"/>
    <mergeCell ref="A36:A43"/>
    <mergeCell ref="B36:V36"/>
    <mergeCell ref="A44:B44"/>
    <mergeCell ref="C10:V10"/>
    <mergeCell ref="C18:V18"/>
    <mergeCell ref="C26:V26"/>
    <mergeCell ref="C34:V34"/>
    <mergeCell ref="C42:V42"/>
    <mergeCell ref="A28:A35"/>
    <mergeCell ref="B28:V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7" zoomScale="70" zoomScaleNormal="70" workbookViewId="0">
      <selection activeCell="AH40" sqref="AH40"/>
    </sheetView>
  </sheetViews>
  <sheetFormatPr defaultColWidth="9.140625" defaultRowHeight="15" x14ac:dyDescent="0.25"/>
  <cols>
    <col min="1" max="1" width="19.85546875" style="21" customWidth="1"/>
    <col min="2" max="2" width="9.140625" style="21"/>
    <col min="3" max="3" width="18.7109375" style="21" customWidth="1"/>
    <col min="4" max="4" width="18.7109375" style="21" hidden="1" customWidth="1"/>
    <col min="5" max="5" width="18.7109375" style="21" customWidth="1"/>
    <col min="6" max="6" width="18.7109375" style="21" hidden="1" customWidth="1"/>
    <col min="7" max="7" width="18.7109375" style="21" customWidth="1"/>
    <col min="8" max="8" width="18.7109375" style="21" hidden="1" customWidth="1"/>
    <col min="9" max="9" width="18.7109375" style="21" customWidth="1"/>
    <col min="10" max="11" width="18.7109375" style="21" hidden="1" customWidth="1"/>
    <col min="12" max="12" width="18.7109375" style="21" customWidth="1"/>
    <col min="13" max="14" width="18.7109375" style="21" hidden="1" customWidth="1"/>
    <col min="15" max="15" width="18.7109375" style="21" customWidth="1"/>
    <col min="16" max="17" width="18.7109375" style="21" hidden="1" customWidth="1"/>
    <col min="18" max="18" width="18.7109375" style="21" customWidth="1"/>
    <col min="19" max="20" width="18.7109375" style="21" hidden="1" customWidth="1"/>
    <col min="21" max="21" width="18.7109375" style="21" customWidth="1"/>
    <col min="22" max="23" width="18.7109375" style="21" hidden="1" customWidth="1"/>
    <col min="24" max="24" width="18.7109375" style="21" customWidth="1"/>
    <col min="25" max="26" width="18.7109375" style="21" hidden="1" customWidth="1"/>
    <col min="27" max="27" width="18.7109375" style="21" customWidth="1"/>
    <col min="28" max="29" width="18.7109375" style="21" hidden="1" customWidth="1"/>
    <col min="30" max="30" width="18.7109375" style="21" customWidth="1"/>
    <col min="31" max="32" width="18.7109375" style="21" hidden="1" customWidth="1"/>
    <col min="33" max="33" width="18.7109375" style="21" customWidth="1"/>
    <col min="34" max="34" width="9.140625" style="42"/>
    <col min="35" max="16384" width="9.140625" style="21"/>
  </cols>
  <sheetData>
    <row r="1" spans="1:3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x14ac:dyDescent="0.25">
      <c r="A2" s="62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4" ht="42.75" x14ac:dyDescent="0.25">
      <c r="A3" s="22" t="s">
        <v>0</v>
      </c>
      <c r="B3" s="23" t="s">
        <v>1</v>
      </c>
      <c r="C3" s="24" t="s">
        <v>2</v>
      </c>
      <c r="D3" s="24"/>
      <c r="E3" s="24" t="s">
        <v>3</v>
      </c>
      <c r="F3" s="24"/>
      <c r="G3" s="24" t="s">
        <v>4</v>
      </c>
      <c r="H3" s="24"/>
      <c r="I3" s="24" t="s">
        <v>5</v>
      </c>
      <c r="J3" s="24"/>
      <c r="K3" s="24"/>
      <c r="L3" s="24" t="s">
        <v>6</v>
      </c>
      <c r="M3" s="24"/>
      <c r="N3" s="24"/>
      <c r="O3" s="24" t="s">
        <v>7</v>
      </c>
      <c r="P3" s="24"/>
      <c r="Q3" s="24"/>
      <c r="R3" s="24" t="s">
        <v>8</v>
      </c>
      <c r="S3" s="24"/>
      <c r="T3" s="24"/>
      <c r="U3" s="24" t="s">
        <v>9</v>
      </c>
      <c r="V3" s="24"/>
      <c r="W3" s="24"/>
      <c r="X3" s="24" t="s">
        <v>10</v>
      </c>
      <c r="Y3" s="24"/>
      <c r="Z3" s="24"/>
      <c r="AA3" s="24" t="s">
        <v>11</v>
      </c>
      <c r="AB3" s="24"/>
      <c r="AC3" s="24"/>
      <c r="AD3" s="24" t="s">
        <v>12</v>
      </c>
      <c r="AE3" s="24"/>
      <c r="AF3" s="24"/>
      <c r="AG3" s="24" t="s">
        <v>13</v>
      </c>
    </row>
    <row r="4" spans="1:34" x14ac:dyDescent="0.25">
      <c r="A4" s="63" t="s">
        <v>41</v>
      </c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/>
    </row>
    <row r="5" spans="1:34" x14ac:dyDescent="0.25">
      <c r="A5" s="64"/>
      <c r="B5" s="25" t="s">
        <v>19</v>
      </c>
      <c r="C5" s="26">
        <v>451396</v>
      </c>
      <c r="D5" s="26">
        <v>0.61717038892512621</v>
      </c>
      <c r="E5" s="26">
        <v>536437</v>
      </c>
      <c r="F5" s="26">
        <v>0.77150218128283743</v>
      </c>
      <c r="G5" s="26">
        <v>477167</v>
      </c>
      <c r="H5" s="26">
        <v>0.75635599711140777</v>
      </c>
      <c r="I5" s="26">
        <v>259203</v>
      </c>
      <c r="J5" s="40"/>
      <c r="K5" s="40">
        <v>0.7375532358114989</v>
      </c>
      <c r="L5" s="26">
        <v>169636</v>
      </c>
      <c r="M5" s="26"/>
      <c r="N5" s="26">
        <v>0.63938773428735063</v>
      </c>
      <c r="O5" s="26">
        <v>153355</v>
      </c>
      <c r="P5" s="26"/>
      <c r="Q5" s="26">
        <v>1.2390149330650209</v>
      </c>
      <c r="R5" s="26">
        <v>159077</v>
      </c>
      <c r="S5" s="26"/>
      <c r="T5" s="26">
        <v>0.82030383457455236</v>
      </c>
      <c r="U5" s="26">
        <v>164981</v>
      </c>
      <c r="V5" s="26"/>
      <c r="W5" s="26">
        <v>0.93850128575050407</v>
      </c>
      <c r="X5" s="26">
        <v>202054</v>
      </c>
      <c r="Y5" s="26"/>
      <c r="Z5" s="26">
        <v>1.7415001865263646</v>
      </c>
      <c r="AA5" s="26">
        <v>583537</v>
      </c>
      <c r="AB5" s="26"/>
      <c r="AC5" s="26">
        <v>2.1139467716558697</v>
      </c>
      <c r="AD5" s="26">
        <v>346938</v>
      </c>
      <c r="AE5" s="26"/>
      <c r="AF5" s="26">
        <v>1.5772929304223855</v>
      </c>
      <c r="AG5" s="26">
        <v>452598</v>
      </c>
      <c r="AH5" s="42">
        <f>'2022'!D5/'2021'!AG5</f>
        <v>0.85093836031091608</v>
      </c>
    </row>
    <row r="6" spans="1:34" x14ac:dyDescent="0.25">
      <c r="A6" s="64"/>
      <c r="B6" s="25" t="s">
        <v>14</v>
      </c>
      <c r="C6" s="26">
        <v>78195713</v>
      </c>
      <c r="D6" s="26">
        <v>0.95693759230433639</v>
      </c>
      <c r="E6" s="26">
        <v>67055369</v>
      </c>
      <c r="F6" s="26">
        <v>1.1019221163606878</v>
      </c>
      <c r="G6" s="26">
        <v>77862083</v>
      </c>
      <c r="H6" s="26">
        <v>0.90191641763670394</v>
      </c>
      <c r="I6" s="26">
        <v>73385571</v>
      </c>
      <c r="J6" s="40"/>
      <c r="K6" s="40">
        <v>0.9794509125827191</v>
      </c>
      <c r="L6" s="26">
        <v>68936917</v>
      </c>
      <c r="M6" s="26"/>
      <c r="N6" s="26">
        <v>0.8944365424741032</v>
      </c>
      <c r="O6" s="26">
        <v>67673280</v>
      </c>
      <c r="P6" s="26"/>
      <c r="Q6" s="26">
        <v>0.92375660799031412</v>
      </c>
      <c r="R6" s="26">
        <v>68509930</v>
      </c>
      <c r="S6" s="26"/>
      <c r="T6" s="26">
        <v>0.96306993133654972</v>
      </c>
      <c r="U6" s="26">
        <v>66172181</v>
      </c>
      <c r="V6" s="26"/>
      <c r="W6" s="26">
        <v>1.0921445312475311</v>
      </c>
      <c r="X6" s="26">
        <v>66878098</v>
      </c>
      <c r="Y6" s="26"/>
      <c r="Z6" s="26">
        <v>1.1471443431016153</v>
      </c>
      <c r="AA6" s="26">
        <v>73790128</v>
      </c>
      <c r="AB6" s="26"/>
      <c r="AC6" s="26">
        <v>1.0499198300428472</v>
      </c>
      <c r="AD6" s="26">
        <v>75038243</v>
      </c>
      <c r="AE6" s="26"/>
      <c r="AF6" s="26">
        <v>1.0320547106776645</v>
      </c>
      <c r="AG6" s="26">
        <v>81402879</v>
      </c>
      <c r="AH6" s="42">
        <f>'2022'!D6/'2021'!AG6</f>
        <v>0.92846992549243867</v>
      </c>
    </row>
    <row r="7" spans="1:34" x14ac:dyDescent="0.25">
      <c r="A7" s="64"/>
      <c r="B7" s="25" t="s">
        <v>15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40"/>
      <c r="K7" s="40">
        <v>0</v>
      </c>
      <c r="L7" s="26">
        <v>0</v>
      </c>
      <c r="M7" s="26"/>
      <c r="N7" s="26">
        <v>0</v>
      </c>
      <c r="O7" s="26">
        <v>0</v>
      </c>
      <c r="P7" s="26"/>
      <c r="Q7" s="26">
        <v>0</v>
      </c>
      <c r="R7" s="26">
        <v>0</v>
      </c>
      <c r="S7" s="26"/>
      <c r="T7" s="26">
        <v>0</v>
      </c>
      <c r="U7" s="26">
        <v>0</v>
      </c>
      <c r="V7" s="26"/>
      <c r="W7" s="26">
        <v>0</v>
      </c>
      <c r="X7" s="26">
        <v>0</v>
      </c>
      <c r="Y7" s="26"/>
      <c r="Z7" s="26">
        <v>0</v>
      </c>
      <c r="AA7" s="26">
        <v>0</v>
      </c>
      <c r="AB7" s="26"/>
      <c r="AC7" s="26">
        <v>0</v>
      </c>
      <c r="AD7" s="26">
        <v>0</v>
      </c>
      <c r="AE7" s="26"/>
      <c r="AF7" s="26">
        <v>0</v>
      </c>
      <c r="AG7" s="26">
        <v>0</v>
      </c>
      <c r="AH7" s="42" t="e">
        <f>'2022'!D7/'2021'!AG7</f>
        <v>#DIV/0!</v>
      </c>
    </row>
    <row r="8" spans="1:34" x14ac:dyDescent="0.25">
      <c r="A8" s="64"/>
      <c r="B8" s="25" t="s">
        <v>16</v>
      </c>
      <c r="C8" s="26">
        <v>158481</v>
      </c>
      <c r="D8" s="26">
        <v>0.85500164873047757</v>
      </c>
      <c r="E8" s="26">
        <v>166153</v>
      </c>
      <c r="F8" s="26">
        <v>1.0620573592314704</v>
      </c>
      <c r="G8" s="26">
        <v>140584</v>
      </c>
      <c r="H8" s="26">
        <v>0.87700823099608261</v>
      </c>
      <c r="I8" s="26">
        <v>68899</v>
      </c>
      <c r="J8" s="40"/>
      <c r="K8" s="40">
        <v>0.73830286452778582</v>
      </c>
      <c r="L8" s="26">
        <v>53228</v>
      </c>
      <c r="M8" s="26"/>
      <c r="N8" s="26">
        <v>0.52013867645559297</v>
      </c>
      <c r="O8" s="26">
        <v>20373</v>
      </c>
      <c r="P8" s="26"/>
      <c r="Q8" s="26">
        <v>1.044599098216036</v>
      </c>
      <c r="R8" s="26">
        <v>25343</v>
      </c>
      <c r="S8" s="26"/>
      <c r="T8" s="26">
        <v>0.96728285008288761</v>
      </c>
      <c r="U8" s="26">
        <v>27058</v>
      </c>
      <c r="V8" s="26"/>
      <c r="W8" s="26">
        <v>1.6391915925626517</v>
      </c>
      <c r="X8" s="26">
        <v>50485</v>
      </c>
      <c r="Y8" s="26"/>
      <c r="Z8" s="26">
        <v>1.2763749704095322</v>
      </c>
      <c r="AA8" s="26">
        <v>59700</v>
      </c>
      <c r="AB8" s="26"/>
      <c r="AC8" s="26">
        <v>1.4656424840035858</v>
      </c>
      <c r="AD8" s="26">
        <v>66737</v>
      </c>
      <c r="AE8" s="26"/>
      <c r="AF8" s="26">
        <v>1.6712116418854792</v>
      </c>
      <c r="AG8" s="26">
        <v>149941</v>
      </c>
      <c r="AH8" s="42">
        <f>'2022'!D8/'2021'!AG8</f>
        <v>1.0149858944518177</v>
      </c>
    </row>
    <row r="9" spans="1:34" x14ac:dyDescent="0.25">
      <c r="A9" s="64"/>
      <c r="B9" s="25" t="s">
        <v>17</v>
      </c>
      <c r="C9" s="26">
        <v>6546</v>
      </c>
      <c r="D9" s="26">
        <v>1.1115211810012837</v>
      </c>
      <c r="E9" s="26">
        <v>8626</v>
      </c>
      <c r="F9" s="26">
        <v>0.54237043453154321</v>
      </c>
      <c r="G9" s="26">
        <v>7286</v>
      </c>
      <c r="H9" s="26">
        <v>5.7407505988820864</v>
      </c>
      <c r="I9" s="26">
        <v>4273</v>
      </c>
      <c r="J9" s="40"/>
      <c r="K9" s="40">
        <v>0.11938983679525222</v>
      </c>
      <c r="L9" s="26">
        <v>2239</v>
      </c>
      <c r="M9" s="26"/>
      <c r="N9" s="26">
        <v>0.21631067961165049</v>
      </c>
      <c r="O9" s="26">
        <v>2478</v>
      </c>
      <c r="P9" s="26"/>
      <c r="Q9" s="26">
        <v>0.59605026929982041</v>
      </c>
      <c r="R9" s="26">
        <v>269</v>
      </c>
      <c r="S9" s="26"/>
      <c r="T9" s="26">
        <v>1.3945783132530121</v>
      </c>
      <c r="U9" s="26">
        <v>1271</v>
      </c>
      <c r="V9" s="26"/>
      <c r="W9" s="26">
        <v>2.0691144708423326</v>
      </c>
      <c r="X9" s="26">
        <v>1765</v>
      </c>
      <c r="Y9" s="26"/>
      <c r="Z9" s="26">
        <v>0.70772442588726514</v>
      </c>
      <c r="AA9" s="26">
        <v>2786</v>
      </c>
      <c r="AB9" s="26"/>
      <c r="AC9" s="26">
        <v>21.486725663716815</v>
      </c>
      <c r="AD9" s="26">
        <v>4572</v>
      </c>
      <c r="AE9" s="26"/>
      <c r="AF9" s="26">
        <v>0.44934102141680393</v>
      </c>
      <c r="AG9" s="26">
        <v>7405</v>
      </c>
      <c r="AH9" s="42">
        <f>'2022'!D9/'2021'!AG9</f>
        <v>0.95097906819716405</v>
      </c>
    </row>
    <row r="10" spans="1:34" x14ac:dyDescent="0.25">
      <c r="A10" s="64"/>
      <c r="B10" s="27"/>
      <c r="C10" s="68" t="s">
        <v>39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9"/>
    </row>
    <row r="11" spans="1:34" x14ac:dyDescent="0.25">
      <c r="A11" s="64"/>
      <c r="B11" s="3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4" x14ac:dyDescent="0.25">
      <c r="A12" s="63" t="s">
        <v>37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46"/>
      <c r="S12" s="46"/>
      <c r="T12" s="47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9"/>
    </row>
    <row r="13" spans="1:34" x14ac:dyDescent="0.25">
      <c r="A13" s="64"/>
      <c r="B13" s="25" t="s">
        <v>19</v>
      </c>
      <c r="C13" s="26"/>
      <c r="D13" s="26"/>
      <c r="E13" s="26"/>
      <c r="F13" s="26"/>
      <c r="G13" s="26"/>
      <c r="H13" s="26"/>
      <c r="I13" s="26"/>
      <c r="J13" s="40"/>
      <c r="K13" s="40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1:34" x14ac:dyDescent="0.25">
      <c r="A14" s="64"/>
      <c r="B14" s="25" t="s">
        <v>14</v>
      </c>
      <c r="C14" s="26"/>
      <c r="D14" s="26"/>
      <c r="E14" s="26"/>
      <c r="F14" s="26"/>
      <c r="G14" s="26"/>
      <c r="H14" s="26"/>
      <c r="I14" s="26"/>
      <c r="J14" s="40"/>
      <c r="K14" s="40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1:34" x14ac:dyDescent="0.25">
      <c r="A15" s="64"/>
      <c r="B15" s="25" t="s">
        <v>15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40"/>
      <c r="K15" s="40">
        <v>0</v>
      </c>
      <c r="L15" s="26">
        <v>0</v>
      </c>
      <c r="M15" s="26"/>
      <c r="N15" s="26">
        <v>0</v>
      </c>
      <c r="O15" s="26">
        <v>0</v>
      </c>
      <c r="P15" s="26"/>
      <c r="Q15" s="26">
        <v>0</v>
      </c>
      <c r="R15" s="26">
        <v>0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4" x14ac:dyDescent="0.25">
      <c r="A16" s="64"/>
      <c r="B16" s="25" t="s">
        <v>16</v>
      </c>
      <c r="C16" s="26">
        <v>4492</v>
      </c>
      <c r="D16" s="26">
        <v>0.83368902439024395</v>
      </c>
      <c r="E16" s="26">
        <v>4006.9999999999995</v>
      </c>
      <c r="F16" s="26">
        <v>1.1821173889193637</v>
      </c>
      <c r="G16" s="26">
        <v>4227</v>
      </c>
      <c r="H16" s="26">
        <v>0.62351121423047173</v>
      </c>
      <c r="I16" s="26">
        <v>5554</v>
      </c>
      <c r="J16" s="40"/>
      <c r="K16" s="40">
        <v>1.2706524435623916</v>
      </c>
      <c r="L16" s="26">
        <v>5212</v>
      </c>
      <c r="M16" s="26"/>
      <c r="N16" s="26">
        <v>0.96641936743459589</v>
      </c>
      <c r="O16" s="26">
        <v>2155</v>
      </c>
      <c r="P16" s="26"/>
      <c r="Q16" s="26">
        <v>0.75555555555555554</v>
      </c>
      <c r="R16" s="26">
        <v>1621</v>
      </c>
      <c r="S16" s="26"/>
      <c r="T16" s="26">
        <v>0.87860962566844925</v>
      </c>
      <c r="U16" s="26">
        <v>2093</v>
      </c>
      <c r="V16" s="26"/>
      <c r="W16" s="26">
        <v>1.2306755934266584</v>
      </c>
      <c r="X16" s="26">
        <v>4299</v>
      </c>
      <c r="Y16" s="26"/>
      <c r="Z16" s="26">
        <v>1.0504451038575668</v>
      </c>
      <c r="AA16" s="26">
        <v>3662</v>
      </c>
      <c r="AB16" s="26"/>
      <c r="AC16" s="26">
        <v>1.0047080979284368</v>
      </c>
      <c r="AD16" s="26">
        <v>4488</v>
      </c>
      <c r="AE16" s="26"/>
      <c r="AF16" s="26">
        <v>1.1077788191190252</v>
      </c>
      <c r="AG16" s="26">
        <v>4889</v>
      </c>
      <c r="AH16" s="42">
        <f>'2022'!D16/'2021'!AG16</f>
        <v>0</v>
      </c>
    </row>
    <row r="17" spans="1:34" x14ac:dyDescent="0.25">
      <c r="A17" s="64"/>
      <c r="B17" s="25" t="s">
        <v>17</v>
      </c>
      <c r="C17" s="26">
        <v>614</v>
      </c>
      <c r="D17" s="26">
        <v>0.93485342019543971</v>
      </c>
      <c r="E17" s="26">
        <v>555</v>
      </c>
      <c r="F17" s="26">
        <v>1.0696864111498259</v>
      </c>
      <c r="G17" s="26">
        <v>614</v>
      </c>
      <c r="H17" s="26">
        <v>0.96742671009771986</v>
      </c>
      <c r="I17" s="26">
        <v>594</v>
      </c>
      <c r="J17" s="40"/>
      <c r="K17" s="40">
        <v>1.0336700336700337</v>
      </c>
      <c r="L17" s="26">
        <v>614</v>
      </c>
      <c r="M17" s="26"/>
      <c r="N17" s="26">
        <v>0.96742671009771986</v>
      </c>
      <c r="O17" s="26">
        <v>594</v>
      </c>
      <c r="P17" s="26"/>
      <c r="Q17" s="26">
        <v>1.0336700336700337</v>
      </c>
      <c r="R17" s="26">
        <v>614</v>
      </c>
      <c r="S17" s="26"/>
      <c r="T17" s="26">
        <v>1</v>
      </c>
      <c r="U17" s="26">
        <v>614</v>
      </c>
      <c r="V17" s="26"/>
      <c r="W17" s="26">
        <v>0.96742671009771986</v>
      </c>
      <c r="X17" s="26">
        <v>594</v>
      </c>
      <c r="Y17" s="26"/>
      <c r="Z17" s="26">
        <v>1.0336700336700337</v>
      </c>
      <c r="AA17" s="26">
        <v>614</v>
      </c>
      <c r="AB17" s="26"/>
      <c r="AC17" s="26">
        <v>0.96742671009771986</v>
      </c>
      <c r="AD17" s="26">
        <v>594</v>
      </c>
      <c r="AE17" s="26"/>
      <c r="AF17" s="26">
        <v>1.0336700336700337</v>
      </c>
      <c r="AG17" s="26">
        <v>614</v>
      </c>
      <c r="AH17" s="42">
        <f>'2022'!D17/'2021'!AG17</f>
        <v>1</v>
      </c>
    </row>
    <row r="18" spans="1:34" x14ac:dyDescent="0.25">
      <c r="A18" s="64"/>
      <c r="B18" s="27"/>
      <c r="C18" s="68" t="s">
        <v>39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9"/>
    </row>
    <row r="19" spans="1:34" x14ac:dyDescent="0.25">
      <c r="A19" s="64"/>
      <c r="B19" s="30"/>
      <c r="C19" s="26">
        <v>5905</v>
      </c>
      <c r="D19" s="26">
        <v>1.8120908740854833</v>
      </c>
      <c r="E19" s="26">
        <v>6118</v>
      </c>
      <c r="F19" s="26">
        <v>0.46323841903952401</v>
      </c>
      <c r="G19" s="26">
        <v>4587</v>
      </c>
      <c r="H19" s="26">
        <v>1.1541284403669725</v>
      </c>
      <c r="I19" s="26">
        <v>4912</v>
      </c>
      <c r="J19" s="40"/>
      <c r="K19" s="40">
        <v>0.99562798092209859</v>
      </c>
      <c r="L19" s="26">
        <v>5335</v>
      </c>
      <c r="M19" s="26"/>
      <c r="N19" s="26">
        <v>1.6540918163672655</v>
      </c>
      <c r="O19" s="26">
        <v>6517</v>
      </c>
      <c r="P19" s="26"/>
      <c r="Q19" s="26">
        <v>0.38132013997827924</v>
      </c>
      <c r="R19" s="26">
        <v>8774</v>
      </c>
      <c r="S19" s="26"/>
      <c r="T19" s="26">
        <v>2.679113924050633</v>
      </c>
      <c r="U19" s="26">
        <v>5131</v>
      </c>
      <c r="V19" s="26"/>
      <c r="W19" s="26">
        <v>0.80829199149539332</v>
      </c>
      <c r="X19" s="26">
        <v>7201</v>
      </c>
      <c r="Y19" s="26"/>
      <c r="Z19" s="26">
        <v>0.98085634955428902</v>
      </c>
      <c r="AA19" s="26">
        <v>5116</v>
      </c>
      <c r="AB19" s="26"/>
      <c r="AC19" s="26">
        <v>0.97526817640047681</v>
      </c>
      <c r="AD19" s="26">
        <v>5654</v>
      </c>
      <c r="AE19" s="26"/>
      <c r="AF19" s="26">
        <v>0.95187901008249309</v>
      </c>
      <c r="AG19" s="26">
        <v>6227</v>
      </c>
      <c r="AH19" s="42">
        <f>'2022'!D19/'2021'!AG19</f>
        <v>0</v>
      </c>
    </row>
    <row r="20" spans="1:34" x14ac:dyDescent="0.25">
      <c r="A20" s="63" t="s">
        <v>38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6"/>
      <c r="P20" s="36"/>
      <c r="Q20" s="36"/>
      <c r="R20" s="36"/>
      <c r="S20" s="36"/>
      <c r="T20" s="36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9"/>
    </row>
    <row r="21" spans="1:34" x14ac:dyDescent="0.25">
      <c r="A21" s="64"/>
      <c r="B21" s="25" t="s">
        <v>19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35"/>
      <c r="P21" s="35"/>
      <c r="Q21" s="35"/>
      <c r="R21" s="35"/>
      <c r="S21" s="35"/>
      <c r="T21" s="35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4" x14ac:dyDescent="0.25">
      <c r="A22" s="64"/>
      <c r="B22" s="25" t="s">
        <v>14</v>
      </c>
      <c r="C22" s="26">
        <v>967182</v>
      </c>
      <c r="D22" s="26">
        <v>0.96265541379711295</v>
      </c>
      <c r="E22" s="26">
        <v>880971</v>
      </c>
      <c r="F22" s="26">
        <v>1.0394731216356616</v>
      </c>
      <c r="G22" s="26">
        <v>991068</v>
      </c>
      <c r="H22" s="26">
        <v>0.97546163045501333</v>
      </c>
      <c r="I22" s="26">
        <v>972998</v>
      </c>
      <c r="J22" s="40"/>
      <c r="K22" s="40">
        <v>1.0853582173571126</v>
      </c>
      <c r="L22" s="26">
        <v>1046229</v>
      </c>
      <c r="M22" s="26"/>
      <c r="N22" s="26">
        <v>1.0698863426658871</v>
      </c>
      <c r="O22" s="26">
        <v>1133355</v>
      </c>
      <c r="P22" s="26"/>
      <c r="Q22" s="26">
        <v>1.0438032209452222</v>
      </c>
      <c r="R22" s="26">
        <v>1166474</v>
      </c>
      <c r="S22" s="26"/>
      <c r="T22" s="26">
        <v>0.95074496147560728</v>
      </c>
      <c r="U22" s="26">
        <v>1103004</v>
      </c>
      <c r="V22" s="26"/>
      <c r="W22" s="26">
        <v>0.92424333902327016</v>
      </c>
      <c r="X22" s="26">
        <v>975581</v>
      </c>
      <c r="Y22" s="26"/>
      <c r="Z22" s="26">
        <v>0.99378825429754614</v>
      </c>
      <c r="AA22" s="26">
        <v>971909</v>
      </c>
      <c r="AB22" s="26"/>
      <c r="AC22" s="26">
        <v>0.93351147531840473</v>
      </c>
      <c r="AD22" s="26">
        <v>939934</v>
      </c>
      <c r="AE22" s="26"/>
      <c r="AF22" s="26">
        <v>1.0253609001940662</v>
      </c>
      <c r="AG22" s="26">
        <v>936206</v>
      </c>
      <c r="AH22" s="42">
        <f>'2022'!D22/'2021'!AG22</f>
        <v>0</v>
      </c>
    </row>
    <row r="23" spans="1:34" x14ac:dyDescent="0.25">
      <c r="A23" s="64"/>
      <c r="B23" s="25" t="s">
        <v>15</v>
      </c>
      <c r="C23" s="26">
        <v>16475</v>
      </c>
      <c r="D23" s="26">
        <v>0.59587945147511934</v>
      </c>
      <c r="E23" s="26">
        <v>31953</v>
      </c>
      <c r="F23" s="26">
        <v>0.94716051574532301</v>
      </c>
      <c r="G23" s="26">
        <v>44630</v>
      </c>
      <c r="H23" s="26">
        <v>0.36199625117150891</v>
      </c>
      <c r="I23" s="26">
        <v>22447</v>
      </c>
      <c r="J23" s="40"/>
      <c r="K23" s="40">
        <v>0.34284789644012947</v>
      </c>
      <c r="L23" s="26">
        <v>2206</v>
      </c>
      <c r="M23" s="26"/>
      <c r="N23" s="26">
        <v>0.44043798376439491</v>
      </c>
      <c r="O23" s="26">
        <v>2446</v>
      </c>
      <c r="P23" s="26"/>
      <c r="Q23" s="26">
        <v>0.90355765109301334</v>
      </c>
      <c r="R23" s="26">
        <v>3089</v>
      </c>
      <c r="S23" s="26"/>
      <c r="T23" s="26">
        <v>1.0550284629981024</v>
      </c>
      <c r="U23" s="26">
        <v>1892</v>
      </c>
      <c r="V23" s="26"/>
      <c r="W23" s="26">
        <v>1.5107913669064748</v>
      </c>
      <c r="X23" s="26">
        <v>8353</v>
      </c>
      <c r="Y23" s="26"/>
      <c r="Z23" s="26">
        <v>4.4735119047619047</v>
      </c>
      <c r="AA23" s="26">
        <v>14812</v>
      </c>
      <c r="AB23" s="26"/>
      <c r="AC23" s="26">
        <v>1.0087153216685516</v>
      </c>
      <c r="AD23" s="26">
        <v>17780</v>
      </c>
      <c r="AE23" s="26"/>
      <c r="AF23" s="26">
        <v>1.5232159345732752</v>
      </c>
      <c r="AG23" s="26">
        <v>28938</v>
      </c>
      <c r="AH23" s="42">
        <f>'2022'!D23/'2021'!AG23</f>
        <v>1.6979404243555187</v>
      </c>
    </row>
    <row r="24" spans="1:34" x14ac:dyDescent="0.25">
      <c r="A24" s="64"/>
      <c r="B24" s="25" t="s">
        <v>16</v>
      </c>
      <c r="C24" s="26">
        <v>758739</v>
      </c>
      <c r="D24" s="26">
        <v>1.017000669646519</v>
      </c>
      <c r="E24" s="26">
        <v>811561</v>
      </c>
      <c r="F24" s="26">
        <v>0.97566659138703216</v>
      </c>
      <c r="G24" s="26">
        <v>719764</v>
      </c>
      <c r="H24" s="26">
        <v>0.86949522702984627</v>
      </c>
      <c r="I24" s="26">
        <v>585435</v>
      </c>
      <c r="J24" s="40"/>
      <c r="K24" s="40">
        <v>0.87749856089115841</v>
      </c>
      <c r="L24" s="26">
        <v>516067</v>
      </c>
      <c r="M24" s="26"/>
      <c r="N24" s="26">
        <v>0.9828493079441627</v>
      </c>
      <c r="O24" s="26">
        <v>488080</v>
      </c>
      <c r="P24" s="26"/>
      <c r="Q24" s="26">
        <v>1.0136196363286512</v>
      </c>
      <c r="R24" s="26">
        <v>487802</v>
      </c>
      <c r="S24" s="26"/>
      <c r="T24" s="26">
        <v>1.0605528497726944</v>
      </c>
      <c r="U24" s="26">
        <v>505603</v>
      </c>
      <c r="V24" s="26"/>
      <c r="W24" s="26">
        <v>1.033522334238872</v>
      </c>
      <c r="X24" s="26">
        <v>560162</v>
      </c>
      <c r="Y24" s="26"/>
      <c r="Z24" s="26">
        <v>1.1107308572129575</v>
      </c>
      <c r="AA24" s="26">
        <v>588625</v>
      </c>
      <c r="AB24" s="26"/>
      <c r="AC24" s="26">
        <v>1.0476004853115299</v>
      </c>
      <c r="AD24" s="26">
        <v>630721</v>
      </c>
      <c r="AE24" s="26"/>
      <c r="AF24" s="26">
        <v>1.2903778949881723</v>
      </c>
      <c r="AG24" s="26">
        <v>873660</v>
      </c>
      <c r="AH24" s="42">
        <f>'2022'!D24/'2021'!AG24</f>
        <v>0.52436187990751548</v>
      </c>
    </row>
    <row r="25" spans="1:34" x14ac:dyDescent="0.25">
      <c r="A25" s="64"/>
      <c r="B25" s="25" t="s">
        <v>17</v>
      </c>
      <c r="C25" s="26">
        <v>130179</v>
      </c>
      <c r="D25" s="26">
        <v>1.0683660197809604</v>
      </c>
      <c r="E25" s="26">
        <v>131532</v>
      </c>
      <c r="F25" s="26">
        <v>0.93638604827837901</v>
      </c>
      <c r="G25" s="26">
        <v>113496</v>
      </c>
      <c r="H25" s="26">
        <v>0.78589268385803601</v>
      </c>
      <c r="I25" s="26">
        <v>91091</v>
      </c>
      <c r="J25" s="40"/>
      <c r="K25" s="40">
        <v>0.88711995465770621</v>
      </c>
      <c r="L25" s="26">
        <v>86156</v>
      </c>
      <c r="M25" s="26"/>
      <c r="N25" s="26">
        <v>0.87989868911934832</v>
      </c>
      <c r="O25" s="26">
        <v>89744</v>
      </c>
      <c r="P25" s="26"/>
      <c r="Q25" s="26">
        <v>1.1635677610082464</v>
      </c>
      <c r="R25" s="26">
        <v>92460</v>
      </c>
      <c r="S25" s="26"/>
      <c r="T25" s="26">
        <v>1.0434816523473629</v>
      </c>
      <c r="U25" s="26">
        <v>89759</v>
      </c>
      <c r="V25" s="26"/>
      <c r="W25" s="26">
        <v>1.0560011106246197</v>
      </c>
      <c r="X25" s="26">
        <v>92478</v>
      </c>
      <c r="Y25" s="26"/>
      <c r="Z25" s="26">
        <v>0.99078727815138801</v>
      </c>
      <c r="AA25" s="26">
        <v>88522</v>
      </c>
      <c r="AB25" s="26"/>
      <c r="AC25" s="26">
        <v>1.0886970012452284</v>
      </c>
      <c r="AD25" s="26">
        <v>86774</v>
      </c>
      <c r="AE25" s="26"/>
      <c r="AF25" s="26">
        <v>1.1413597839945999</v>
      </c>
      <c r="AG25" s="26">
        <v>101644</v>
      </c>
      <c r="AH25" s="42">
        <f>'2022'!D25/'2021'!AG25</f>
        <v>0.226063515800244</v>
      </c>
    </row>
    <row r="26" spans="1:34" x14ac:dyDescent="0.25">
      <c r="A26" s="64"/>
      <c r="B26" s="27"/>
      <c r="C26" s="68" t="s">
        <v>39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9"/>
    </row>
    <row r="27" spans="1:34" x14ac:dyDescent="0.25">
      <c r="A27" s="64"/>
      <c r="B27" s="30"/>
      <c r="C27" s="26">
        <v>159436</v>
      </c>
      <c r="D27" s="26">
        <v>0.96301343856366028</v>
      </c>
      <c r="E27" s="26">
        <v>166147</v>
      </c>
      <c r="F27" s="26">
        <v>0.96410642747005937</v>
      </c>
      <c r="G27" s="26">
        <v>152339</v>
      </c>
      <c r="H27" s="26">
        <v>1.4309187704935991</v>
      </c>
      <c r="I27" s="26">
        <v>151720</v>
      </c>
      <c r="J27" s="40"/>
      <c r="K27" s="40">
        <v>1.2645248545473105</v>
      </c>
      <c r="L27" s="26">
        <v>209470</v>
      </c>
      <c r="M27" s="26"/>
      <c r="N27" s="26">
        <v>0.81559181663713676</v>
      </c>
      <c r="O27" s="26">
        <v>184195</v>
      </c>
      <c r="P27" s="26"/>
      <c r="Q27" s="26">
        <v>0.9487975059382423</v>
      </c>
      <c r="R27" s="26">
        <v>190506</v>
      </c>
      <c r="S27" s="26"/>
      <c r="T27" s="26">
        <v>1.1328879222669024</v>
      </c>
      <c r="U27" s="26">
        <v>204458</v>
      </c>
      <c r="V27" s="26"/>
      <c r="W27" s="26">
        <v>0.93110417472331175</v>
      </c>
      <c r="X27" s="26">
        <v>214446</v>
      </c>
      <c r="Y27" s="26"/>
      <c r="Z27" s="26">
        <v>0.88287094493367024</v>
      </c>
      <c r="AA27" s="26">
        <v>168132</v>
      </c>
      <c r="AB27" s="26"/>
      <c r="AC27" s="26">
        <v>0.83857346072424643</v>
      </c>
      <c r="AD27" s="26">
        <v>149440</v>
      </c>
      <c r="AE27" s="26"/>
      <c r="AF27" s="26">
        <v>1.0114670014826292</v>
      </c>
      <c r="AG27" s="26">
        <v>187735</v>
      </c>
      <c r="AH27" s="42">
        <f>'2022'!D27/'2021'!AG27</f>
        <v>0</v>
      </c>
    </row>
    <row r="28" spans="1:34" x14ac:dyDescent="0.25">
      <c r="A28" s="63" t="s">
        <v>33</v>
      </c>
      <c r="B28" s="72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9"/>
      <c r="AH28" s="42" t="e">
        <f>I28/G28</f>
        <v>#DIV/0!</v>
      </c>
    </row>
    <row r="29" spans="1:34" x14ac:dyDescent="0.25">
      <c r="A29" s="64"/>
      <c r="B29" s="15" t="s">
        <v>19</v>
      </c>
      <c r="C29" s="16"/>
      <c r="D29" s="16"/>
      <c r="E29" s="16"/>
      <c r="F29" s="16"/>
      <c r="G29" s="16"/>
      <c r="H29" s="16"/>
      <c r="I29" s="16"/>
      <c r="J29" s="41"/>
      <c r="K29" s="41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4" x14ac:dyDescent="0.25">
      <c r="A30" s="64"/>
      <c r="B30" s="15" t="s">
        <v>14</v>
      </c>
      <c r="C30" s="16"/>
      <c r="D30" s="16"/>
      <c r="E30" s="16"/>
      <c r="F30" s="16"/>
      <c r="G30" s="16"/>
      <c r="H30" s="16"/>
      <c r="I30" s="16"/>
      <c r="J30" s="41"/>
      <c r="K30" s="41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4" x14ac:dyDescent="0.25">
      <c r="A31" s="64"/>
      <c r="B31" s="15" t="s">
        <v>15</v>
      </c>
      <c r="C31" s="16"/>
      <c r="D31" s="16"/>
      <c r="E31" s="16"/>
      <c r="F31" s="16"/>
      <c r="G31" s="16"/>
      <c r="H31" s="16"/>
      <c r="I31" s="16"/>
      <c r="J31" s="41"/>
      <c r="K31" s="41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4" x14ac:dyDescent="0.25">
      <c r="A32" s="64"/>
      <c r="B32" s="15" t="s">
        <v>16</v>
      </c>
      <c r="C32" s="16">
        <v>143990</v>
      </c>
      <c r="D32" s="16">
        <v>0.59313249509861521</v>
      </c>
      <c r="E32" s="16">
        <v>175619</v>
      </c>
      <c r="F32" s="16">
        <v>0.89136940450246605</v>
      </c>
      <c r="G32" s="16">
        <v>155464</v>
      </c>
      <c r="H32" s="16">
        <v>1.075334854067965</v>
      </c>
      <c r="I32" s="16">
        <v>115562</v>
      </c>
      <c r="J32" s="41"/>
      <c r="K32" s="41">
        <v>1.0207560511286375</v>
      </c>
      <c r="L32" s="16">
        <v>107770</v>
      </c>
      <c r="M32" s="16"/>
      <c r="N32" s="16">
        <v>0.51914571632581286</v>
      </c>
      <c r="O32" s="3">
        <v>108371</v>
      </c>
      <c r="P32" s="3"/>
      <c r="Q32" s="3">
        <v>1.5435715312134337</v>
      </c>
      <c r="R32" s="16">
        <v>114619</v>
      </c>
      <c r="S32" s="16"/>
      <c r="T32" s="16">
        <v>1.0042025747419938</v>
      </c>
      <c r="U32" s="16">
        <v>99586</v>
      </c>
      <c r="V32" s="16"/>
      <c r="W32" s="16">
        <v>1.3627297769772739</v>
      </c>
      <c r="X32" s="16">
        <v>122128</v>
      </c>
      <c r="Y32" s="16"/>
      <c r="Z32" s="16">
        <v>1.2310368621048233</v>
      </c>
      <c r="AA32" s="16">
        <v>188491</v>
      </c>
      <c r="AB32" s="16"/>
      <c r="AC32" s="16">
        <v>0.99257914265414071</v>
      </c>
      <c r="AD32" s="16">
        <v>212352</v>
      </c>
      <c r="AE32" s="16"/>
      <c r="AF32" s="16">
        <v>1.1452318460192477</v>
      </c>
      <c r="AG32" s="16">
        <v>255068</v>
      </c>
      <c r="AH32" s="42">
        <f>'2022'!D32/'2021'!AG32</f>
        <v>0.9235850831935013</v>
      </c>
    </row>
    <row r="33" spans="1:34" x14ac:dyDescent="0.25">
      <c r="A33" s="64"/>
      <c r="B33" s="15" t="s">
        <v>17</v>
      </c>
      <c r="C33" s="16">
        <v>20542</v>
      </c>
      <c r="D33" s="16">
        <v>1.1055195339499062</v>
      </c>
      <c r="E33" s="16">
        <v>20646</v>
      </c>
      <c r="F33" s="16">
        <v>0.81997082378159514</v>
      </c>
      <c r="G33" s="16">
        <v>20724</v>
      </c>
      <c r="H33" s="16">
        <v>0.62322997603659869</v>
      </c>
      <c r="I33" s="16">
        <v>15890</v>
      </c>
      <c r="J33" s="41"/>
      <c r="K33" s="41">
        <v>1.0120011651616663</v>
      </c>
      <c r="L33" s="16">
        <v>12145</v>
      </c>
      <c r="M33" s="16"/>
      <c r="N33" s="16">
        <v>0.66841287202809285</v>
      </c>
      <c r="O33" s="3">
        <v>4948</v>
      </c>
      <c r="P33" s="3"/>
      <c r="Q33" s="3">
        <v>1.3085005598139696</v>
      </c>
      <c r="R33" s="16">
        <v>5451</v>
      </c>
      <c r="S33" s="16"/>
      <c r="T33" s="16">
        <v>1.0066477983281774</v>
      </c>
      <c r="U33" s="16">
        <v>10567</v>
      </c>
      <c r="V33" s="16"/>
      <c r="W33" s="16">
        <v>1.1435857198901529</v>
      </c>
      <c r="X33" s="16">
        <v>13460</v>
      </c>
      <c r="Y33" s="16"/>
      <c r="Z33" s="16">
        <v>0.94059462550028583</v>
      </c>
      <c r="AA33" s="16">
        <v>14185</v>
      </c>
      <c r="AB33" s="16"/>
      <c r="AC33" s="16">
        <v>1.2698924077563674</v>
      </c>
      <c r="AD33" s="16">
        <v>17850</v>
      </c>
      <c r="AE33" s="16"/>
      <c r="AF33" s="16">
        <v>0.98329424153941891</v>
      </c>
      <c r="AG33" s="16">
        <v>23207</v>
      </c>
      <c r="AH33" s="42">
        <f>'2022'!D33/'2021'!AG33</f>
        <v>0.91192312664282327</v>
      </c>
    </row>
    <row r="34" spans="1:34" x14ac:dyDescent="0.25">
      <c r="A34" s="64"/>
      <c r="B34" s="17"/>
      <c r="C34" s="68" t="s">
        <v>39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9"/>
    </row>
    <row r="35" spans="1:34" x14ac:dyDescent="0.25">
      <c r="A35" s="64"/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4" x14ac:dyDescent="0.25">
      <c r="A36" s="63" t="s">
        <v>32</v>
      </c>
      <c r="B36" s="65" t="s">
        <v>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7"/>
    </row>
    <row r="37" spans="1:34" x14ac:dyDescent="0.25">
      <c r="A37" s="64"/>
      <c r="B37" s="15" t="s">
        <v>19</v>
      </c>
      <c r="C37" s="16"/>
      <c r="D37" s="16"/>
      <c r="E37" s="16"/>
      <c r="F37" s="16"/>
      <c r="G37" s="16"/>
      <c r="H37" s="16"/>
      <c r="I37" s="16"/>
      <c r="J37" s="41"/>
      <c r="K37" s="41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4" x14ac:dyDescent="0.25">
      <c r="A38" s="64"/>
      <c r="B38" s="15" t="s">
        <v>14</v>
      </c>
      <c r="C38" s="16"/>
      <c r="D38" s="16"/>
      <c r="E38" s="16"/>
      <c r="F38" s="16"/>
      <c r="G38" s="16"/>
      <c r="H38" s="16"/>
      <c r="I38" s="16"/>
      <c r="J38" s="41"/>
      <c r="K38" s="41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4" x14ac:dyDescent="0.25">
      <c r="A39" s="64"/>
      <c r="B39" s="15" t="s">
        <v>15</v>
      </c>
      <c r="C39" s="16"/>
      <c r="D39" s="16"/>
      <c r="E39" s="16"/>
      <c r="F39" s="16"/>
      <c r="G39" s="16"/>
      <c r="H39" s="16"/>
      <c r="I39" s="16"/>
      <c r="J39" s="41"/>
      <c r="K39" s="41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4" x14ac:dyDescent="0.25">
      <c r="A40" s="64"/>
      <c r="B40" s="15" t="s">
        <v>16</v>
      </c>
      <c r="C40" s="16">
        <v>1951</v>
      </c>
      <c r="D40" s="16">
        <v>8.7826086956521738</v>
      </c>
      <c r="E40" s="16">
        <v>1967</v>
      </c>
      <c r="F40" s="16">
        <v>0.62211221122112215</v>
      </c>
      <c r="G40" s="16">
        <v>55</v>
      </c>
      <c r="H40" s="16">
        <v>1.4694960212201591</v>
      </c>
      <c r="I40" s="16">
        <v>1</v>
      </c>
      <c r="J40" s="41"/>
      <c r="K40" s="41">
        <v>7.0397111913357402E-2</v>
      </c>
      <c r="L40" s="16">
        <v>22</v>
      </c>
      <c r="M40" s="16"/>
      <c r="N40" s="16">
        <v>11.512820512820513</v>
      </c>
      <c r="O40" s="3">
        <v>261</v>
      </c>
      <c r="P40" s="3"/>
      <c r="Q40" s="3">
        <v>0</v>
      </c>
      <c r="R40" s="16">
        <v>372</v>
      </c>
      <c r="S40" s="16"/>
      <c r="T40" s="16">
        <v>0</v>
      </c>
      <c r="U40" s="16">
        <v>1</v>
      </c>
      <c r="V40" s="16"/>
      <c r="W40" s="16">
        <v>0.29141566265060243</v>
      </c>
      <c r="X40" s="16">
        <v>182</v>
      </c>
      <c r="Y40" s="16"/>
      <c r="Z40" s="16">
        <v>0.65116279069767447</v>
      </c>
      <c r="AA40" s="16">
        <v>919</v>
      </c>
      <c r="AB40" s="16"/>
      <c r="AC40" s="16">
        <v>7.0317460317460316</v>
      </c>
      <c r="AD40" s="16">
        <v>34</v>
      </c>
      <c r="AE40" s="16"/>
      <c r="AF40" s="16">
        <v>1.1010158013544018</v>
      </c>
      <c r="AG40" s="16">
        <v>240</v>
      </c>
      <c r="AH40" s="42">
        <f>'2022'!D40/'2021'!AG40</f>
        <v>7.6875</v>
      </c>
    </row>
    <row r="41" spans="1:34" x14ac:dyDescent="0.25">
      <c r="A41" s="64"/>
      <c r="B41" s="15" t="s">
        <v>17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4" x14ac:dyDescent="0.25">
      <c r="A42" s="64"/>
      <c r="B42" s="17"/>
      <c r="C42" s="68" t="s">
        <v>39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</row>
    <row r="43" spans="1:34" x14ac:dyDescent="0.25">
      <c r="A43" s="64"/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4" x14ac:dyDescent="0.25">
      <c r="A44" s="70" t="s">
        <v>18</v>
      </c>
      <c r="B44" s="71"/>
      <c r="C44" s="31">
        <f>SUM(C5:C9,C11,C13:C17,C19,C21:C25,C27,C29:C33,,C37:C41,C35,C43)</f>
        <v>81021641</v>
      </c>
      <c r="D44" s="31"/>
      <c r="E44" s="31">
        <f t="shared" ref="E44:AG44" si="0">SUM(E5:E9,E11,E13:E17,E19,E21:E25,E27,E29:E33,,E37:E41,E35,E43)</f>
        <v>69997661</v>
      </c>
      <c r="F44" s="31"/>
      <c r="G44" s="31">
        <f t="shared" si="0"/>
        <v>80694088</v>
      </c>
      <c r="H44" s="31"/>
      <c r="I44" s="31">
        <f t="shared" si="0"/>
        <v>75684150</v>
      </c>
      <c r="J44" s="31"/>
      <c r="K44" s="31"/>
      <c r="L44" s="31">
        <f t="shared" si="0"/>
        <v>71153246</v>
      </c>
      <c r="M44" s="31"/>
      <c r="N44" s="31"/>
      <c r="O44" s="31">
        <f t="shared" si="0"/>
        <v>69870152</v>
      </c>
      <c r="P44" s="31"/>
      <c r="Q44" s="31"/>
      <c r="R44" s="31">
        <f t="shared" si="0"/>
        <v>70766401</v>
      </c>
      <c r="S44" s="31"/>
      <c r="T44" s="31"/>
      <c r="U44" s="31">
        <f t="shared" si="0"/>
        <v>68388199</v>
      </c>
      <c r="V44" s="31"/>
      <c r="W44" s="31"/>
      <c r="X44" s="31">
        <f t="shared" si="0"/>
        <v>69131286</v>
      </c>
      <c r="Y44" s="31"/>
      <c r="Z44" s="31"/>
      <c r="AA44" s="31">
        <f t="shared" si="0"/>
        <v>76481138</v>
      </c>
      <c r="AB44" s="31"/>
      <c r="AC44" s="31"/>
      <c r="AD44" s="31">
        <f t="shared" si="0"/>
        <v>77522111</v>
      </c>
      <c r="AE44" s="31"/>
      <c r="AF44" s="31"/>
      <c r="AG44" s="31">
        <f t="shared" si="0"/>
        <v>84431251</v>
      </c>
    </row>
    <row r="45" spans="1:34" x14ac:dyDescent="0.25">
      <c r="C45" s="32"/>
      <c r="D45" s="32"/>
      <c r="E45" s="32"/>
      <c r="F45" s="32"/>
    </row>
    <row r="46" spans="1:34" x14ac:dyDescent="0.25">
      <c r="G46" s="32"/>
      <c r="H46" s="32"/>
      <c r="L46" s="32"/>
      <c r="M46" s="32"/>
      <c r="N46" s="32"/>
    </row>
    <row r="47" spans="1:34" x14ac:dyDescent="0.25">
      <c r="E47" s="32"/>
      <c r="F47" s="32"/>
      <c r="U47" s="32"/>
      <c r="V47" s="32"/>
      <c r="W47" s="32"/>
      <c r="AG47" s="32"/>
    </row>
    <row r="48" spans="1:34" x14ac:dyDescent="0.25">
      <c r="L48" s="33"/>
      <c r="M48" s="33"/>
      <c r="N48" s="33"/>
      <c r="O48" s="32"/>
      <c r="P48" s="32"/>
      <c r="Q48" s="32"/>
      <c r="AA48" s="32"/>
      <c r="AB48" s="32"/>
      <c r="AC48" s="32"/>
      <c r="AD48" s="32"/>
      <c r="AE48" s="32"/>
      <c r="AF48" s="32"/>
    </row>
    <row r="49" spans="12:14" x14ac:dyDescent="0.25">
      <c r="L49" s="34"/>
      <c r="M49" s="34"/>
      <c r="N49" s="34"/>
    </row>
    <row r="51" spans="12:14" x14ac:dyDescent="0.25">
      <c r="L51" s="33"/>
      <c r="M51" s="33"/>
      <c r="N51" s="33"/>
    </row>
    <row r="52" spans="12:14" x14ac:dyDescent="0.25">
      <c r="L52" s="33"/>
      <c r="M52" s="33"/>
      <c r="N52" s="33"/>
    </row>
  </sheetData>
  <mergeCells count="15">
    <mergeCell ref="A2:AG2"/>
    <mergeCell ref="A4:A11"/>
    <mergeCell ref="B4:AG4"/>
    <mergeCell ref="C10:AG10"/>
    <mergeCell ref="A12:A19"/>
    <mergeCell ref="C18:AG18"/>
    <mergeCell ref="A44:B44"/>
    <mergeCell ref="A20:A27"/>
    <mergeCell ref="C26:AG26"/>
    <mergeCell ref="A28:A35"/>
    <mergeCell ref="B28:AG28"/>
    <mergeCell ref="C34:AG34"/>
    <mergeCell ref="A36:A43"/>
    <mergeCell ref="B36:AG36"/>
    <mergeCell ref="C42:A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Прошутинский Николай Александрович</cp:lastModifiedBy>
  <dcterms:created xsi:type="dcterms:W3CDTF">2013-11-13T16:10:49Z</dcterms:created>
  <dcterms:modified xsi:type="dcterms:W3CDTF">2025-01-17T08:42:04Z</dcterms:modified>
</cp:coreProperties>
</file>