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285" windowWidth="10200" windowHeight="7455" tabRatio="623" firstSheet="9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N10" i="16" l="1"/>
  <c r="N8" i="16"/>
  <c r="N7" i="16"/>
  <c r="N6" i="16"/>
  <c r="N5" i="16"/>
  <c r="M10" i="16" l="1"/>
  <c r="M8" i="16"/>
  <c r="M7" i="16"/>
  <c r="M6" i="16"/>
  <c r="K8" i="16" l="1"/>
  <c r="L8" i="16"/>
  <c r="L10" i="16"/>
  <c r="L7" i="16"/>
  <c r="L6" i="16"/>
  <c r="K10" i="16" l="1"/>
  <c r="K7" i="16"/>
  <c r="K6" i="16"/>
  <c r="J6" i="16" l="1"/>
  <c r="J7" i="16"/>
  <c r="J8" i="16"/>
  <c r="I8" i="16"/>
  <c r="J10" i="16"/>
  <c r="I10" i="16" l="1"/>
  <c r="I7" i="16"/>
  <c r="I6" i="16"/>
  <c r="H10" i="16" l="1"/>
  <c r="H8" i="16"/>
  <c r="H7" i="16"/>
  <c r="H6" i="16"/>
  <c r="G10" i="16" l="1"/>
  <c r="G8" i="16"/>
  <c r="G7" i="16"/>
  <c r="G6" i="16"/>
  <c r="F10" i="16" l="1"/>
  <c r="F8" i="16"/>
  <c r="F7" i="16"/>
  <c r="F6" i="16"/>
  <c r="E10" i="16" l="1"/>
  <c r="E8" i="16"/>
  <c r="E7" i="16"/>
  <c r="E6" i="16"/>
  <c r="D8" i="16" l="1"/>
  <c r="D7" i="16"/>
  <c r="D6" i="16"/>
  <c r="D10" i="16"/>
  <c r="C8" i="16" l="1"/>
  <c r="C7" i="16"/>
  <c r="C6" i="16"/>
  <c r="G11" i="16" l="1"/>
  <c r="C11" i="16"/>
  <c r="L11" i="16"/>
  <c r="K11" i="16"/>
  <c r="H11" i="16"/>
  <c r="N11" i="16"/>
  <c r="M11" i="16"/>
  <c r="J11" i="16"/>
  <c r="I11" i="16"/>
  <c r="F11" i="16"/>
  <c r="E11" i="16"/>
  <c r="D11" i="16"/>
  <c r="N8" i="15" l="1"/>
  <c r="N7" i="15"/>
  <c r="N6" i="15"/>
  <c r="M8" i="15" l="1"/>
  <c r="M7" i="15"/>
  <c r="M6" i="15"/>
  <c r="L8" i="15" l="1"/>
  <c r="L7" i="15"/>
  <c r="L6" i="15"/>
  <c r="K8" i="15" l="1"/>
  <c r="K7" i="15"/>
  <c r="K6" i="15"/>
  <c r="J8" i="15" l="1"/>
  <c r="J7" i="15"/>
  <c r="J6" i="15"/>
  <c r="H8" i="15" l="1"/>
  <c r="H7" i="15"/>
  <c r="H6" i="15"/>
  <c r="I8" i="15" l="1"/>
  <c r="I7" i="15"/>
  <c r="I6" i="15"/>
  <c r="H11" i="15" l="1"/>
  <c r="F8" i="15" l="1"/>
  <c r="F7" i="15"/>
  <c r="F6" i="15"/>
  <c r="E8" i="15" l="1"/>
  <c r="E7" i="15"/>
  <c r="E6" i="15"/>
  <c r="D8" i="15" l="1"/>
  <c r="D7" i="15"/>
  <c r="D6" i="15"/>
  <c r="C8" i="15" l="1"/>
  <c r="C7" i="15"/>
  <c r="C6" i="15"/>
  <c r="C11" i="15" l="1"/>
  <c r="AH10" i="13"/>
  <c r="AH8" i="13"/>
  <c r="AH7" i="13"/>
  <c r="AH6" i="13"/>
  <c r="AH5" i="13"/>
  <c r="N11" i="15"/>
  <c r="M11" i="15"/>
  <c r="L11" i="15"/>
  <c r="K11" i="15"/>
  <c r="J11" i="15"/>
  <c r="I11" i="15"/>
  <c r="G11" i="15"/>
  <c r="F11" i="15"/>
  <c r="E11" i="15"/>
  <c r="D11" i="15"/>
  <c r="AS8" i="14" l="1"/>
  <c r="AS7" i="14"/>
  <c r="AS6" i="14"/>
  <c r="AO6" i="14" l="1"/>
  <c r="AO7" i="14"/>
  <c r="AO8" i="14"/>
  <c r="AK8" i="14" l="1"/>
  <c r="AK7" i="14"/>
  <c r="AK6" i="14"/>
  <c r="AG8" i="14" l="1"/>
  <c r="AG7" i="14"/>
  <c r="AG6" i="14"/>
  <c r="AC8" i="14" l="1"/>
  <c r="AC7" i="14"/>
  <c r="AC6" i="14"/>
  <c r="Y8" i="14" l="1"/>
  <c r="Y7" i="14"/>
  <c r="Y6" i="14"/>
  <c r="U8" i="14" l="1"/>
  <c r="U7" i="14"/>
  <c r="U6" i="14"/>
  <c r="Q8" i="14" l="1"/>
  <c r="Q7" i="14"/>
  <c r="Q6" i="14"/>
  <c r="M8" i="14" l="1"/>
  <c r="M7" i="14"/>
  <c r="M6" i="14"/>
  <c r="J8" i="14" l="1"/>
  <c r="J7" i="14"/>
  <c r="J6" i="14"/>
  <c r="G8" i="14" l="1"/>
  <c r="G7" i="14"/>
  <c r="G6" i="14"/>
  <c r="D8" i="14" l="1"/>
  <c r="D7" i="14"/>
  <c r="D6" i="14"/>
  <c r="W10" i="12" l="1"/>
  <c r="W8" i="12"/>
  <c r="W7" i="12"/>
  <c r="W6" i="12"/>
  <c r="W5" i="12"/>
  <c r="AS11" i="14"/>
  <c r="AO11" i="14"/>
  <c r="AK11" i="14"/>
  <c r="AG11" i="14"/>
  <c r="AC11" i="14"/>
  <c r="Y11" i="14"/>
  <c r="U11" i="14"/>
  <c r="Q11" i="14"/>
  <c r="M11" i="14"/>
  <c r="J11" i="14"/>
  <c r="G11" i="14"/>
  <c r="D11" i="14"/>
  <c r="AG8" i="13" l="1"/>
  <c r="AG7" i="13"/>
  <c r="AG6" i="13"/>
  <c r="AD8" i="13" l="1"/>
  <c r="AD7" i="13"/>
  <c r="AD6" i="13"/>
  <c r="AA8" i="13"/>
  <c r="AA7" i="13"/>
  <c r="AA6" i="13"/>
  <c r="X8" i="13"/>
  <c r="X7" i="13"/>
  <c r="X6" i="13"/>
  <c r="U8" i="13"/>
  <c r="U7" i="13"/>
  <c r="U6" i="13"/>
  <c r="R8" i="13"/>
  <c r="R7" i="13"/>
  <c r="R6" i="13"/>
  <c r="O8" i="13"/>
  <c r="O7" i="13"/>
  <c r="O6" i="13"/>
  <c r="L8" i="13"/>
  <c r="L7" i="13"/>
  <c r="L6" i="13"/>
  <c r="I8" i="13"/>
  <c r="I7" i="13"/>
  <c r="I6" i="13"/>
  <c r="G11" i="13"/>
  <c r="G8" i="13"/>
  <c r="G7" i="13"/>
  <c r="G6" i="13"/>
  <c r="E8" i="13"/>
  <c r="E7" i="13"/>
  <c r="E6" i="13"/>
  <c r="C8" i="13"/>
  <c r="C7" i="13"/>
  <c r="C6" i="13"/>
  <c r="AG11" i="13"/>
  <c r="AD11" i="13"/>
  <c r="AA11" i="13"/>
  <c r="X11" i="13"/>
  <c r="U11" i="13"/>
  <c r="R11" i="13"/>
  <c r="O11" i="13"/>
  <c r="L11" i="13"/>
  <c r="I11" i="13"/>
  <c r="E11" i="13"/>
  <c r="C11" i="13"/>
  <c r="V8" i="12"/>
  <c r="V7" i="12"/>
  <c r="V6" i="12"/>
  <c r="O10" i="11"/>
  <c r="O8" i="11"/>
  <c r="O7" i="11"/>
  <c r="O6" i="11"/>
  <c r="O5" i="11"/>
  <c r="T8" i="12"/>
  <c r="T7" i="12"/>
  <c r="T6" i="12"/>
  <c r="R8" i="12"/>
  <c r="R7" i="12"/>
  <c r="R6" i="12"/>
  <c r="P8" i="12"/>
  <c r="P6" i="12"/>
  <c r="P7" i="12"/>
  <c r="N8" i="12"/>
  <c r="N7" i="12"/>
  <c r="N6" i="12"/>
  <c r="L8" i="12"/>
  <c r="L7" i="12"/>
  <c r="L6" i="12"/>
  <c r="J7" i="12"/>
  <c r="J8" i="12"/>
  <c r="J6" i="12"/>
  <c r="H8" i="12"/>
  <c r="H7" i="12"/>
  <c r="H6" i="12"/>
  <c r="F8" i="12"/>
  <c r="F7" i="12"/>
  <c r="F6" i="12"/>
  <c r="E8" i="12"/>
  <c r="E7" i="12"/>
  <c r="E6" i="12"/>
  <c r="D8" i="12"/>
  <c r="D7" i="12"/>
  <c r="D6" i="12"/>
  <c r="Q6" i="11"/>
  <c r="Q7" i="11"/>
  <c r="Q8" i="11"/>
  <c r="Q10" i="11"/>
  <c r="Q11" i="11"/>
  <c r="Q5" i="11"/>
  <c r="C8" i="12"/>
  <c r="C7" i="12"/>
  <c r="C6" i="12"/>
  <c r="C11" i="12"/>
  <c r="V11" i="12"/>
  <c r="T11" i="12"/>
  <c r="R11" i="12"/>
  <c r="P11" i="12"/>
  <c r="N11" i="12"/>
  <c r="L11" i="12"/>
  <c r="J11" i="12"/>
  <c r="H11" i="12"/>
  <c r="F11" i="12"/>
  <c r="E11" i="12"/>
  <c r="D11" i="12"/>
  <c r="N7" i="11"/>
  <c r="N6" i="11"/>
  <c r="M7" i="11"/>
  <c r="M6" i="11"/>
  <c r="L7" i="11"/>
  <c r="L6" i="11"/>
  <c r="K7" i="11"/>
  <c r="K6" i="11"/>
  <c r="J7" i="11"/>
  <c r="J6" i="11"/>
  <c r="I7" i="11"/>
  <c r="I6" i="11"/>
  <c r="H7" i="11"/>
  <c r="H6" i="11"/>
  <c r="G7" i="11"/>
  <c r="G11" i="11"/>
  <c r="G6" i="11"/>
  <c r="F7" i="11"/>
  <c r="F6" i="11"/>
  <c r="E7" i="11"/>
  <c r="E6" i="11"/>
  <c r="E10" i="11"/>
  <c r="D7" i="11"/>
  <c r="D6" i="11"/>
  <c r="N11" i="11"/>
  <c r="M11" i="11"/>
  <c r="L11" i="11"/>
  <c r="K11" i="11"/>
  <c r="J11" i="11"/>
  <c r="I11" i="11"/>
  <c r="H11" i="11"/>
  <c r="F11" i="11"/>
  <c r="E11" i="11"/>
  <c r="D11" i="11"/>
  <c r="C11" i="11"/>
  <c r="N11" i="10"/>
  <c r="M11" i="10"/>
  <c r="L11" i="10"/>
  <c r="K11" i="10"/>
  <c r="J11" i="10"/>
  <c r="I11" i="10"/>
  <c r="H11" i="10"/>
  <c r="G11" i="10"/>
  <c r="F11" i="10"/>
  <c r="E11" i="10"/>
  <c r="D11" i="10"/>
  <c r="C11" i="10"/>
  <c r="K11" i="9"/>
  <c r="J11" i="9"/>
  <c r="I11" i="9"/>
  <c r="G11" i="9"/>
  <c r="N11" i="9"/>
  <c r="M11" i="9"/>
  <c r="L11" i="9"/>
  <c r="H11" i="9"/>
  <c r="F11" i="9"/>
  <c r="E11" i="9"/>
  <c r="D11" i="9"/>
  <c r="C11" i="9"/>
  <c r="L11" i="8"/>
  <c r="N11" i="8"/>
  <c r="M11" i="8"/>
  <c r="K11" i="8"/>
  <c r="J11" i="8"/>
  <c r="I11" i="8"/>
  <c r="G11" i="8"/>
  <c r="F11" i="8"/>
  <c r="E11" i="8"/>
  <c r="D11" i="8"/>
  <c r="C11" i="8"/>
  <c r="H11" i="8"/>
  <c r="I11" i="7"/>
  <c r="H10" i="7"/>
  <c r="H6" i="7"/>
  <c r="H7" i="7"/>
  <c r="H8" i="7"/>
  <c r="H5" i="7"/>
  <c r="H11" i="7" s="1"/>
  <c r="D11" i="7"/>
  <c r="E11" i="7"/>
  <c r="F11" i="7"/>
  <c r="G11" i="7"/>
  <c r="J11" i="7"/>
  <c r="K11" i="7"/>
  <c r="L11" i="7"/>
  <c r="M11" i="7"/>
  <c r="N11" i="7"/>
  <c r="C11" i="7"/>
  <c r="C11" i="6"/>
  <c r="C12" i="6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5"/>
  <c r="C12" i="5"/>
  <c r="N11" i="5"/>
  <c r="N12" i="5"/>
  <c r="M11" i="5"/>
  <c r="M12" i="5"/>
  <c r="L11" i="5"/>
  <c r="L12" i="5"/>
  <c r="K11" i="5"/>
  <c r="K12" i="5"/>
  <c r="J11" i="5"/>
  <c r="J12" i="5"/>
  <c r="I11" i="5"/>
  <c r="I12" i="5"/>
  <c r="H11" i="5"/>
  <c r="H12" i="5"/>
  <c r="G11" i="5"/>
  <c r="G12" i="5"/>
  <c r="F11" i="5"/>
  <c r="F12" i="5"/>
  <c r="E11" i="5"/>
  <c r="E12" i="5"/>
  <c r="D11" i="5"/>
  <c r="D12" i="5"/>
</calcChain>
</file>

<file path=xl/sharedStrings.xml><?xml version="1.0" encoding="utf-8"?>
<sst xmlns="http://schemas.openxmlformats.org/spreadsheetml/2006/main" count="280" uniqueCount="37">
  <si>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</si>
  <si>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</si>
  <si>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</si>
  <si>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</si>
  <si>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</si>
  <si>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</si>
  <si>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</si>
  <si>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</si>
  <si>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</si>
  <si>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</si>
  <si>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</si>
  <si>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</si>
  <si>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</si>
  <si>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</si>
  <si>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</si>
  <si>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</si>
  <si>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</si>
  <si>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</si>
  <si>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</si>
  <si>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 xml:space="preserve">ОАО "МРСК Центра и Приволжья" филиал "Владимирэнерго" 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</si>
  <si>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</si>
  <si>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</si>
  <si>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2015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</si>
  <si>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</si>
  <si>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</si>
  <si>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2016 год</t>
  </si>
  <si>
    <t xml:space="preserve">ПАО "МРСК Центра и Приволжья" филиал "Владимирэнерго" 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</si>
  <si>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</si>
  <si>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</si>
  <si>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</si>
  <si>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2020 год</t>
  </si>
  <si>
    <t xml:space="preserve">филиал ПАО "МРСК Центра и Приволжья" - "Владимирэнерго" 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</si>
  <si>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2021 год</t>
  </si>
  <si>
    <t xml:space="preserve">филиал ПАО "Россети Центр и Приволжье" - "Владимирэнерго" 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</si>
  <si>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</si>
  <si>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</si>
  <si>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Владимирской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</si>
</sst>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-* #,##0_-;\-* #,##0_-;_-* &quot;-&quot;_-;_-@_-"/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00_р_._-;\-* #,##0.000_р_._-;_-* &quot;-&quot;??_р_._-;_-@_-"/>
    <numFmt numFmtId="167" formatCode="#,##0.0000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#\."/>
    <numFmt numFmtId="171" formatCode="#.##0\.00"/>
    <numFmt numFmtId="172" formatCode="#\.00"/>
    <numFmt numFmtId="173" formatCode="\$#\.00"/>
    <numFmt numFmtId="174" formatCode="&quot;$&quot;#,##0_);[Red]\(&quot;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%#\.00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3"/>
    </font>
    <font>
      <sz val="10"/>
      <name val="Helv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  <family val="2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8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/>
    <xf numFmtId="0" fontId="11" fillId="0" borderId="0">
      <protection locked="0"/>
    </xf>
    <xf numFmtId="0" fontId="11" fillId="0" borderId="1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0" fontId="12" fillId="0" borderId="0"/>
    <xf numFmtId="4" fontId="13" fillId="0" borderId="0">
      <alignment vertical="center"/>
    </xf>
    <xf numFmtId="0" fontId="12" fillId="0" borderId="0"/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0" fontId="12" fillId="0" borderId="0"/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4" fontId="13" fillId="0" borderId="0">
      <alignment vertical="center"/>
    </xf>
    <xf numFmtId="0" fontId="12" fillId="0" borderId="0"/>
    <xf numFmtId="4" fontId="13" fillId="0" borderId="0">
      <alignment vertical="center"/>
    </xf>
    <xf numFmtId="170" fontId="14" fillId="0" borderId="10">
      <protection locked="0"/>
    </xf>
    <xf numFmtId="171" fontId="14" fillId="0" borderId="0">
      <protection locked="0"/>
    </xf>
    <xf numFmtId="172" fontId="14" fillId="0" borderId="0">
      <protection locked="0"/>
    </xf>
    <xf numFmtId="171" fontId="14" fillId="0" borderId="0">
      <protection locked="0"/>
    </xf>
    <xf numFmtId="172" fontId="14" fillId="0" borderId="0">
      <protection locked="0"/>
    </xf>
    <xf numFmtId="173" fontId="14" fillId="0" borderId="0">
      <protection locked="0"/>
    </xf>
    <xf numFmtId="170" fontId="15" fillId="0" borderId="0">
      <protection locked="0"/>
    </xf>
    <xf numFmtId="170" fontId="15" fillId="0" borderId="0">
      <protection locked="0"/>
    </xf>
    <xf numFmtId="170" fontId="14" fillId="0" borderId="1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11" applyNumberFormat="0" applyAlignment="0" applyProtection="0"/>
    <xf numFmtId="0" fontId="21" fillId="22" borderId="12" applyNumberFormat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7" fontId="25" fillId="0" borderId="0" applyFill="0" applyBorder="0" applyAlignment="0" applyProtection="0"/>
    <xf numFmtId="177" fontId="26" fillId="0" borderId="0" applyFill="0" applyBorder="0" applyAlignment="0" applyProtection="0"/>
    <xf numFmtId="177" fontId="27" fillId="0" borderId="0" applyFill="0" applyBorder="0" applyAlignment="0" applyProtection="0"/>
    <xf numFmtId="177" fontId="28" fillId="0" borderId="0" applyFill="0" applyBorder="0" applyAlignment="0" applyProtection="0"/>
    <xf numFmtId="177" fontId="29" fillId="0" borderId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0" fontId="32" fillId="5" borderId="0" applyNumberFormat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11" applyNumberFormat="0" applyAlignment="0" applyProtection="0"/>
    <xf numFmtId="0" fontId="37" fillId="0" borderId="16" applyNumberFormat="0" applyFill="0" applyAlignment="0" applyProtection="0"/>
    <xf numFmtId="0" fontId="38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1" fillId="0" borderId="0"/>
    <xf numFmtId="0" fontId="8" fillId="0" borderId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7" fillId="24" borderId="17" applyNumberFormat="0" applyFont="0" applyAlignment="0" applyProtection="0"/>
    <xf numFmtId="0" fontId="42" fillId="21" borderId="18" applyNumberFormat="0" applyAlignment="0" applyProtection="0"/>
    <xf numFmtId="0" fontId="43" fillId="0" borderId="0" applyNumberFormat="0">
      <alignment horizontal="left"/>
    </xf>
    <xf numFmtId="0" fontId="8" fillId="0" borderId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178" fontId="47" fillId="0" borderId="20">
      <protection locked="0"/>
    </xf>
    <xf numFmtId="0" fontId="36" fillId="8" borderId="11" applyNumberFormat="0" applyAlignment="0" applyProtection="0"/>
    <xf numFmtId="0" fontId="42" fillId="21" borderId="18" applyNumberFormat="0" applyAlignment="0" applyProtection="0"/>
    <xf numFmtId="0" fontId="20" fillId="21" borderId="11" applyNumberFormat="0" applyAlignment="0" applyProtection="0"/>
    <xf numFmtId="0" fontId="39" fillId="0" borderId="0" applyNumberForma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8" fillId="0" borderId="0" applyBorder="0">
      <alignment horizontal="center" vertical="center" wrapText="1"/>
    </xf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9" applyBorder="0">
      <alignment horizontal="center" vertical="center" wrapText="1"/>
    </xf>
    <xf numFmtId="178" fontId="52" fillId="25" borderId="20"/>
    <xf numFmtId="4" fontId="53" fillId="26" borderId="3" applyBorder="0">
      <alignment horizontal="right"/>
    </xf>
    <xf numFmtId="0" fontId="45" fillId="0" borderId="19" applyNumberFormat="0" applyFill="0" applyAlignment="0" applyProtection="0"/>
    <xf numFmtId="0" fontId="39" fillId="0" borderId="10" applyNumberFormat="0" applyFill="0" applyAlignment="0" applyProtection="0"/>
    <xf numFmtId="0" fontId="21" fillId="22" borderId="12" applyNumberFormat="0" applyAlignment="0" applyProtection="0"/>
    <xf numFmtId="0" fontId="39" fillId="27" borderId="0" applyFill="0">
      <alignment wrapText="1"/>
    </xf>
    <xf numFmtId="0" fontId="39" fillId="27" borderId="0" applyFill="0">
      <alignment wrapText="1"/>
    </xf>
    <xf numFmtId="0" fontId="39" fillId="27" borderId="0" applyFill="0">
      <alignment wrapText="1"/>
    </xf>
    <xf numFmtId="0" fontId="39" fillId="27" borderId="0" applyFill="0">
      <alignment wrapText="1"/>
    </xf>
    <xf numFmtId="0" fontId="39" fillId="27" borderId="0" applyFill="0">
      <alignment wrapText="1"/>
    </xf>
    <xf numFmtId="0" fontId="39" fillId="27" borderId="0" applyFill="0">
      <alignment wrapText="1"/>
    </xf>
    <xf numFmtId="0" fontId="50" fillId="0" borderId="0">
      <alignment horizontal="center" vertical="top" wrapText="1"/>
    </xf>
    <xf numFmtId="0" fontId="54" fillId="0" borderId="0">
      <alignment horizontal="centerContinuous" vertical="center" wrapText="1"/>
    </xf>
    <xf numFmtId="179" fontId="9" fillId="27" borderId="3">
      <alignment wrapText="1"/>
    </xf>
    <xf numFmtId="0" fontId="44" fillId="0" borderId="0" applyNumberFormat="0" applyFill="0" applyBorder="0" applyAlignment="0" applyProtection="0"/>
    <xf numFmtId="0" fontId="38" fillId="23" borderId="0" applyNumberFormat="0" applyBorder="0" applyAlignment="0" applyProtection="0"/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4" fontId="7" fillId="0" borderId="0">
      <alignment vertical="center"/>
    </xf>
    <xf numFmtId="0" fontId="19" fillId="4" borderId="0" applyNumberFormat="0" applyBorder="0" applyAlignment="0" applyProtection="0"/>
    <xf numFmtId="177" fontId="55" fillId="26" borderId="21" applyNumberFormat="0" applyBorder="0" applyAlignment="0">
      <alignment vertical="center"/>
      <protection locked="0"/>
    </xf>
    <xf numFmtId="0" fontId="24" fillId="0" borderId="0" applyNumberFormat="0" applyFill="0" applyBorder="0" applyAlignment="0" applyProtection="0"/>
    <xf numFmtId="0" fontId="10" fillId="24" borderId="17" applyNumberFormat="0" applyFont="0" applyAlignment="0" applyProtection="0"/>
    <xf numFmtId="0" fontId="17" fillId="24" borderId="17" applyNumberFormat="0" applyFont="0" applyAlignment="0" applyProtection="0"/>
    <xf numFmtId="0" fontId="10" fillId="24" borderId="17" applyNumberFormat="0" applyFont="0" applyAlignment="0" applyProtection="0"/>
    <xf numFmtId="0" fontId="10" fillId="24" borderId="17" applyNumberFormat="0" applyFont="0" applyAlignment="0" applyProtection="0"/>
    <xf numFmtId="0" fontId="10" fillId="24" borderId="17" applyNumberFormat="0" applyFont="0" applyAlignment="0" applyProtection="0"/>
    <xf numFmtId="0" fontId="10" fillId="24" borderId="17" applyNumberFormat="0" applyFont="0" applyAlignment="0" applyProtection="0"/>
    <xf numFmtId="0" fontId="10" fillId="24" borderId="17" applyNumberFormat="0" applyFont="0" applyAlignment="0" applyProtection="0"/>
    <xf numFmtId="0" fontId="17" fillId="24" borderId="17" applyNumberFormat="0" applyFont="0" applyAlignment="0" applyProtection="0"/>
    <xf numFmtId="0" fontId="17" fillId="24" borderId="17" applyNumberFormat="0" applyFont="0" applyAlignment="0" applyProtection="0"/>
    <xf numFmtId="0" fontId="17" fillId="24" borderId="17" applyNumberFormat="0" applyFont="0" applyAlignment="0" applyProtection="0"/>
    <xf numFmtId="0" fontId="17" fillId="24" borderId="17" applyNumberFormat="0" applyFont="0" applyAlignment="0" applyProtection="0"/>
    <xf numFmtId="0" fontId="10" fillId="24" borderId="17" applyNumberFormat="0" applyFont="0" applyAlignment="0" applyProtection="0"/>
    <xf numFmtId="0" fontId="10" fillId="24" borderId="17" applyNumberFormat="0" applyFont="0" applyAlignment="0" applyProtection="0"/>
    <xf numFmtId="0" fontId="10" fillId="24" borderId="17" applyNumberFormat="0" applyFont="0" applyAlignment="0" applyProtection="0"/>
    <xf numFmtId="0" fontId="37" fillId="0" borderId="16" applyNumberFormat="0" applyFill="0" applyAlignment="0" applyProtection="0"/>
    <xf numFmtId="0" fontId="8" fillId="0" borderId="0"/>
    <xf numFmtId="177" fontId="39" fillId="0" borderId="0" applyFill="0" applyBorder="0" applyAlignment="0" applyProtection="0"/>
    <xf numFmtId="0" fontId="46" fillId="0" borderId="0" applyNumberFormat="0" applyFill="0" applyBorder="0" applyAlignment="0" applyProtection="0"/>
    <xf numFmtId="49" fontId="39" fillId="0" borderId="0">
      <alignment horizontal="center"/>
    </xf>
    <xf numFmtId="168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2" fontId="39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" fontId="53" fillId="27" borderId="0" applyBorder="0">
      <alignment horizontal="right"/>
    </xf>
    <xf numFmtId="4" fontId="53" fillId="28" borderId="22" applyBorder="0">
      <alignment horizontal="right"/>
    </xf>
    <xf numFmtId="4" fontId="53" fillId="27" borderId="3" applyFont="0" applyBorder="0">
      <alignment horizontal="right"/>
    </xf>
    <xf numFmtId="0" fontId="32" fillId="5" borderId="0" applyNumberFormat="0" applyBorder="0" applyAlignment="0" applyProtection="0"/>
    <xf numFmtId="180" fontId="14" fillId="0" borderId="0">
      <protection locked="0"/>
    </xf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3" fontId="2" fillId="2" borderId="3" xfId="0" applyNumberFormat="1" applyFont="1" applyFill="1" applyBorder="1" applyAlignment="1">
      <alignment horizontal="center" vertical="center"/>
    </xf>
    <xf numFmtId="166" fontId="0" fillId="0" borderId="0" xfId="1" applyNumberFormat="1" applyFont="1"/>
    <xf numFmtId="165" fontId="4" fillId="0" borderId="0" xfId="1" applyNumberFormat="1" applyFont="1"/>
    <xf numFmtId="3" fontId="5" fillId="0" borderId="0" xfId="0" applyNumberFormat="1" applyFont="1"/>
    <xf numFmtId="0" fontId="5" fillId="0" borderId="0" xfId="0" applyFont="1"/>
    <xf numFmtId="167" fontId="2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3" fontId="6" fillId="0" borderId="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57" fillId="0" borderId="0" xfId="0" applyFont="1"/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338">
    <cellStyle name="_ВО ОП ТЭС-ОТ- 2007" xfId="9"/>
    <cellStyle name="_ВФ ОАО ТЭС-ОТ- 2009" xfId="10"/>
    <cellStyle name="_дек ДЭ" xfId="11"/>
    <cellStyle name="_Договор аренды ЯЭ с разбивкой" xfId="12"/>
    <cellStyle name="_ДУ143 ян" xfId="13"/>
    <cellStyle name="_м ДЭ" xfId="14"/>
    <cellStyle name="_м ДЭ (2)" xfId="15"/>
    <cellStyle name="_май ДЭ" xfId="16"/>
    <cellStyle name="_ноя ДЭ" xfId="17"/>
    <cellStyle name="_окт ДЭ " xfId="18"/>
    <cellStyle name="_ОТ ИД 2009" xfId="19"/>
    <cellStyle name="_рап ап" xfId="20"/>
    <cellStyle name="_рап ил" xfId="21"/>
    <cellStyle name="_рап март" xfId="22"/>
    <cellStyle name="_рапиюль" xfId="23"/>
    <cellStyle name="_рапиюнь" xfId="24"/>
    <cellStyle name="_сен ДЭ " xfId="25"/>
    <cellStyle name="_ф ДЭ" xfId="26"/>
    <cellStyle name="_экон.форм-т ВО 1 с разбивкой" xfId="27"/>
    <cellStyle name="_ян ДЭ" xfId="28"/>
    <cellStyle name="”€ќђќ‘ћ‚›‰" xfId="30"/>
    <cellStyle name="”€љ‘€ђћ‚ђќќ›‰" xfId="31"/>
    <cellStyle name="”ќђќ‘ћ‚›‰" xfId="32"/>
    <cellStyle name="”љ‘ђћ‚ђќќ›‰" xfId="33"/>
    <cellStyle name="„…ќ…†ќ›‰" xfId="34"/>
    <cellStyle name="€’ћѓћ‚›‰" xfId="37"/>
    <cellStyle name="‡ђѓћ‹ћ‚ћљ1" xfId="35"/>
    <cellStyle name="‡ђѓћ‹ћ‚ћљ2" xfId="36"/>
    <cellStyle name="’ћѓћ‚›‰" xfId="29"/>
    <cellStyle name="" xfId="4"/>
    <cellStyle name="" xfId="5"/>
    <cellStyle name="" xfId="6"/>
    <cellStyle name="" xfId="7"/>
    <cellStyle name="" xfId="8"/>
    <cellStyle name="1" xfId="38"/>
    <cellStyle name="2" xfId="39"/>
    <cellStyle name="20% - Accent1" xfId="40"/>
    <cellStyle name="20% - Accent2" xfId="41"/>
    <cellStyle name="20% - Accent3" xfId="42"/>
    <cellStyle name="20% - Accent4" xfId="43"/>
    <cellStyle name="20% - Accent5" xfId="44"/>
    <cellStyle name="20% - Accent6" xfId="45"/>
    <cellStyle name="20% - Акцент1 2" xfId="46"/>
    <cellStyle name="20% - Акцент2 2" xfId="47"/>
    <cellStyle name="20% - Акцент3 2" xfId="48"/>
    <cellStyle name="20% - Акцент4 2" xfId="49"/>
    <cellStyle name="20% - Акцент5 2" xfId="50"/>
    <cellStyle name="20% - Акцент6 2" xfId="51"/>
    <cellStyle name="40% - Accent1" xfId="52"/>
    <cellStyle name="40% - Accent2" xfId="53"/>
    <cellStyle name="40% - Accent3" xfId="54"/>
    <cellStyle name="40% - Accent4" xfId="55"/>
    <cellStyle name="40% - Accent5" xfId="56"/>
    <cellStyle name="40% - Accent6" xfId="57"/>
    <cellStyle name="40% - Акцент1 2" xfId="58"/>
    <cellStyle name="40% - Акцент2 2" xfId="59"/>
    <cellStyle name="40% - Акцент3 2" xfId="60"/>
    <cellStyle name="40% - Акцент4 2" xfId="61"/>
    <cellStyle name="40% - Акцент5 2" xfId="62"/>
    <cellStyle name="40% - Акцент6 2" xfId="63"/>
    <cellStyle name="60% - Accent1" xfId="64"/>
    <cellStyle name="60% - Accent2" xfId="65"/>
    <cellStyle name="60% - Accent3" xfId="66"/>
    <cellStyle name="60% - Accent4" xfId="67"/>
    <cellStyle name="60% - Accent5" xfId="68"/>
    <cellStyle name="60% - Accent6" xfId="69"/>
    <cellStyle name="60% - Акцент1 2" xfId="70"/>
    <cellStyle name="60% - Акцент2 2" xfId="71"/>
    <cellStyle name="60% - Акцент3 2" xfId="72"/>
    <cellStyle name="60% - Акцент4 2" xfId="73"/>
    <cellStyle name="60% - Акцент5 2" xfId="74"/>
    <cellStyle name="60% - Акцент6 2" xfId="75"/>
    <cellStyle name="Accent1" xfId="76"/>
    <cellStyle name="Accent2" xfId="77"/>
    <cellStyle name="Accent3" xfId="78"/>
    <cellStyle name="Accent4" xfId="79"/>
    <cellStyle name="Accent5" xfId="80"/>
    <cellStyle name="Accent6" xfId="81"/>
    <cellStyle name="Bad" xfId="82"/>
    <cellStyle name="Calculation" xfId="83"/>
    <cellStyle name="Check Cell" xfId="84"/>
    <cellStyle name="Comma [0]_irl tel sep5" xfId="85"/>
    <cellStyle name="Comma_irl tel sep5" xfId="86"/>
    <cellStyle name="Currency [0]" xfId="87"/>
    <cellStyle name="Currency [0] 2" xfId="88"/>
    <cellStyle name="Currency [0] 3" xfId="89"/>
    <cellStyle name="Currency [0] 4" xfId="90"/>
    <cellStyle name="Currency [0] 5" xfId="91"/>
    <cellStyle name="Currency_irl tel sep5" xfId="92"/>
    <cellStyle name="Euro" xfId="93"/>
    <cellStyle name="Explanatory Text" xfId="94"/>
    <cellStyle name="F2" xfId="95"/>
    <cellStyle name="F3" xfId="96"/>
    <cellStyle name="F4" xfId="97"/>
    <cellStyle name="F5" xfId="98"/>
    <cellStyle name="F6" xfId="99"/>
    <cellStyle name="F7" xfId="100"/>
    <cellStyle name="F8" xfId="101"/>
    <cellStyle name="Good" xfId="102"/>
    <cellStyle name="Heading 1" xfId="103"/>
    <cellStyle name="Heading 2" xfId="104"/>
    <cellStyle name="Heading 3" xfId="105"/>
    <cellStyle name="Heading 4" xfId="106"/>
    <cellStyle name="Input" xfId="107"/>
    <cellStyle name="Linked Cell" xfId="108"/>
    <cellStyle name="Neutral" xfId="109"/>
    <cellStyle name="normal" xfId="110"/>
    <cellStyle name="Normal 2" xfId="111"/>
    <cellStyle name="Normal 2 10" xfId="112"/>
    <cellStyle name="Normal 2 2" xfId="113"/>
    <cellStyle name="Normal 2 3" xfId="114"/>
    <cellStyle name="Normal 2 4" xfId="115"/>
    <cellStyle name="Normal 2 5" xfId="116"/>
    <cellStyle name="Normal 2 6" xfId="117"/>
    <cellStyle name="Normal 2 7" xfId="118"/>
    <cellStyle name="Normal 2 8" xfId="119"/>
    <cellStyle name="Normal 2 9" xfId="120"/>
    <cellStyle name="Normal_ASUS" xfId="121"/>
    <cellStyle name="Normal1" xfId="122"/>
    <cellStyle name="normбlnм_laroux" xfId="123"/>
    <cellStyle name="Note" xfId="124"/>
    <cellStyle name="Note 10" xfId="125"/>
    <cellStyle name="Note 2" xfId="126"/>
    <cellStyle name="Note 3" xfId="127"/>
    <cellStyle name="Note 4" xfId="128"/>
    <cellStyle name="Note 5" xfId="129"/>
    <cellStyle name="Note 6" xfId="130"/>
    <cellStyle name="Note 7" xfId="131"/>
    <cellStyle name="Note 8" xfId="132"/>
    <cellStyle name="Note 9" xfId="133"/>
    <cellStyle name="Output" xfId="134"/>
    <cellStyle name="Price_Body" xfId="135"/>
    <cellStyle name="Style 1" xfId="136"/>
    <cellStyle name="Title" xfId="137"/>
    <cellStyle name="Total" xfId="138"/>
    <cellStyle name="Warning Text" xfId="139"/>
    <cellStyle name="Акцент1 2" xfId="140"/>
    <cellStyle name="Акцент2 2" xfId="141"/>
    <cellStyle name="Акцент3 2" xfId="142"/>
    <cellStyle name="Акцент4 2" xfId="143"/>
    <cellStyle name="Акцент5 2" xfId="144"/>
    <cellStyle name="Акцент6 2" xfId="145"/>
    <cellStyle name="Беззащитный" xfId="146"/>
    <cellStyle name="Ввод  2" xfId="147"/>
    <cellStyle name="Вывод 2" xfId="148"/>
    <cellStyle name="Вычисление 2" xfId="149"/>
    <cellStyle name="ДАТА" xfId="150"/>
    <cellStyle name="Денежный 2" xfId="151"/>
    <cellStyle name="Денежный 2 2" xfId="152"/>
    <cellStyle name="Заголовок" xfId="153"/>
    <cellStyle name="Заголовок 1 2" xfId="154"/>
    <cellStyle name="Заголовок 2 2" xfId="155"/>
    <cellStyle name="Заголовок 3 2" xfId="156"/>
    <cellStyle name="Заголовок 4 2" xfId="157"/>
    <cellStyle name="ЗАГОЛОВОК1" xfId="158"/>
    <cellStyle name="ЗАГОЛОВОК2" xfId="159"/>
    <cellStyle name="ЗаголовокСтолбца" xfId="160"/>
    <cellStyle name="Защитный" xfId="161"/>
    <cellStyle name="Значение" xfId="162"/>
    <cellStyle name="Итог 2" xfId="163"/>
    <cellStyle name="ИТОГОВЫЙ" xfId="164"/>
    <cellStyle name="Контрольная ячейка 2" xfId="165"/>
    <cellStyle name="Мои наименования показателей" xfId="166"/>
    <cellStyle name="Мои наименования показателей 2" xfId="167"/>
    <cellStyle name="Мои наименования показателей 3" xfId="168"/>
    <cellStyle name="Мои наименования показателей 4" xfId="169"/>
    <cellStyle name="Мои наименования показателей 5" xfId="170"/>
    <cellStyle name="Мои наименования показателей_BALANCE.TBO.1.71" xfId="171"/>
    <cellStyle name="Мой заголовок" xfId="172"/>
    <cellStyle name="Мой заголовок листа" xfId="173"/>
    <cellStyle name="назв фил" xfId="174"/>
    <cellStyle name="Название 2" xfId="175"/>
    <cellStyle name="Нейтральный 2" xfId="176"/>
    <cellStyle name="Обычный" xfId="0" builtinId="0"/>
    <cellStyle name="Обычный 10 2" xfId="177"/>
    <cellStyle name="Обычный 10 3" xfId="178"/>
    <cellStyle name="Обычный 10 4" xfId="179"/>
    <cellStyle name="Обычный 10 5" xfId="180"/>
    <cellStyle name="Обычный 10 6" xfId="181"/>
    <cellStyle name="Обычный 10 7" xfId="182"/>
    <cellStyle name="Обычный 10 8" xfId="183"/>
    <cellStyle name="Обычный 11 2" xfId="184"/>
    <cellStyle name="Обычный 11 3" xfId="185"/>
    <cellStyle name="Обычный 11 4" xfId="186"/>
    <cellStyle name="Обычный 11 5" xfId="187"/>
    <cellStyle name="Обычный 11 6" xfId="188"/>
    <cellStyle name="Обычный 11 7" xfId="189"/>
    <cellStyle name="Обычный 11 8" xfId="190"/>
    <cellStyle name="Обычный 12 2" xfId="191"/>
    <cellStyle name="Обычный 12 3" xfId="192"/>
    <cellStyle name="Обычный 12 4" xfId="193"/>
    <cellStyle name="Обычный 12 5" xfId="194"/>
    <cellStyle name="Обычный 12 6" xfId="195"/>
    <cellStyle name="Обычный 12 7" xfId="196"/>
    <cellStyle name="Обычный 12 8" xfId="197"/>
    <cellStyle name="Обычный 13 2" xfId="198"/>
    <cellStyle name="Обычный 13 3" xfId="199"/>
    <cellStyle name="Обычный 13 4" xfId="200"/>
    <cellStyle name="Обычный 13 5" xfId="201"/>
    <cellStyle name="Обычный 13 6" xfId="202"/>
    <cellStyle name="Обычный 13 7" xfId="203"/>
    <cellStyle name="Обычный 13 8" xfId="204"/>
    <cellStyle name="Обычный 14 2" xfId="205"/>
    <cellStyle name="Обычный 14 3" xfId="206"/>
    <cellStyle name="Обычный 14 4" xfId="207"/>
    <cellStyle name="Обычный 14 5" xfId="208"/>
    <cellStyle name="Обычный 14 6" xfId="209"/>
    <cellStyle name="Обычный 14 7" xfId="210"/>
    <cellStyle name="Обычный 14 8" xfId="211"/>
    <cellStyle name="Обычный 15 2" xfId="212"/>
    <cellStyle name="Обычный 15 3" xfId="213"/>
    <cellStyle name="Обычный 15 4" xfId="214"/>
    <cellStyle name="Обычный 15 5" xfId="215"/>
    <cellStyle name="Обычный 15 6" xfId="216"/>
    <cellStyle name="Обычный 15 7" xfId="217"/>
    <cellStyle name="Обычный 15 8" xfId="218"/>
    <cellStyle name="Обычный 16 2" xfId="219"/>
    <cellStyle name="Обычный 16 3" xfId="220"/>
    <cellStyle name="Обычный 16 4" xfId="221"/>
    <cellStyle name="Обычный 16 5" xfId="222"/>
    <cellStyle name="Обычный 16 6" xfId="223"/>
    <cellStyle name="Обычный 16 7" xfId="224"/>
    <cellStyle name="Обычный 16 8" xfId="225"/>
    <cellStyle name="Обычный 17 2" xfId="226"/>
    <cellStyle name="Обычный 17 3" xfId="227"/>
    <cellStyle name="Обычный 17 4" xfId="228"/>
    <cellStyle name="Обычный 17 5" xfId="229"/>
    <cellStyle name="Обычный 17 6" xfId="230"/>
    <cellStyle name="Обычный 17 7" xfId="231"/>
    <cellStyle name="Обычный 17 8" xfId="232"/>
    <cellStyle name="Обычный 18 2" xfId="233"/>
    <cellStyle name="Обычный 18 3" xfId="234"/>
    <cellStyle name="Обычный 18 4" xfId="235"/>
    <cellStyle name="Обычный 18 5" xfId="236"/>
    <cellStyle name="Обычный 18 6" xfId="237"/>
    <cellStyle name="Обычный 18 7" xfId="238"/>
    <cellStyle name="Обычный 18 8" xfId="239"/>
    <cellStyle name="Обычный 2" xfId="3"/>
    <cellStyle name="Обычный 2 10" xfId="240"/>
    <cellStyle name="Обычный 2 2" xfId="241"/>
    <cellStyle name="Обычный 2 3" xfId="242"/>
    <cellStyle name="Обычный 2 4" xfId="243"/>
    <cellStyle name="Обычный 2 5" xfId="244"/>
    <cellStyle name="Обычный 2 6" xfId="245"/>
    <cellStyle name="Обычный 2 7" xfId="246"/>
    <cellStyle name="Обычный 2 8" xfId="247"/>
    <cellStyle name="Обычный 2 9" xfId="248"/>
    <cellStyle name="Обычный 20 2" xfId="249"/>
    <cellStyle name="Обычный 20 3" xfId="250"/>
    <cellStyle name="Обычный 20 4" xfId="251"/>
    <cellStyle name="Обычный 20 5" xfId="252"/>
    <cellStyle name="Обычный 20 6" xfId="253"/>
    <cellStyle name="Обычный 20 7" xfId="254"/>
    <cellStyle name="Обычный 20 8" xfId="255"/>
    <cellStyle name="Обычный 3" xfId="256"/>
    <cellStyle name="Обычный 3 10" xfId="257"/>
    <cellStyle name="Обычный 3 2" xfId="258"/>
    <cellStyle name="Обычный 3 3" xfId="259"/>
    <cellStyle name="Обычный 3 4" xfId="260"/>
    <cellStyle name="Обычный 3 5" xfId="261"/>
    <cellStyle name="Обычный 3 6" xfId="262"/>
    <cellStyle name="Обычный 3 7" xfId="263"/>
    <cellStyle name="Обычный 3 8" xfId="264"/>
    <cellStyle name="Обычный 3 9" xfId="265"/>
    <cellStyle name="Обычный 4" xfId="2"/>
    <cellStyle name="Обычный 5 2" xfId="266"/>
    <cellStyle name="Обычный 5 3" xfId="267"/>
    <cellStyle name="Обычный 5 4" xfId="268"/>
    <cellStyle name="Обычный 5 5" xfId="269"/>
    <cellStyle name="Обычный 5 6" xfId="270"/>
    <cellStyle name="Обычный 5 7" xfId="271"/>
    <cellStyle name="Обычный 5 8" xfId="272"/>
    <cellStyle name="Обычный 6 2" xfId="273"/>
    <cellStyle name="Обычный 6 3" xfId="274"/>
    <cellStyle name="Обычный 6 4" xfId="275"/>
    <cellStyle name="Обычный 6 5" xfId="276"/>
    <cellStyle name="Обычный 6 6" xfId="277"/>
    <cellStyle name="Обычный 6 7" xfId="278"/>
    <cellStyle name="Обычный 6 8" xfId="279"/>
    <cellStyle name="Обычный 7 2" xfId="280"/>
    <cellStyle name="Обычный 7 3" xfId="281"/>
    <cellStyle name="Обычный 7 4" xfId="282"/>
    <cellStyle name="Обычный 7 5" xfId="283"/>
    <cellStyle name="Обычный 7 6" xfId="284"/>
    <cellStyle name="Обычный 7 7" xfId="285"/>
    <cellStyle name="Обычный 7 8" xfId="286"/>
    <cellStyle name="Обычный 8 2" xfId="287"/>
    <cellStyle name="Обычный 8 3" xfId="288"/>
    <cellStyle name="Обычный 8 4" xfId="289"/>
    <cellStyle name="Обычный 8 5" xfId="290"/>
    <cellStyle name="Обычный 8 6" xfId="291"/>
    <cellStyle name="Обычный 8 7" xfId="292"/>
    <cellStyle name="Обычный 8 8" xfId="293"/>
    <cellStyle name="Обычный 9 2" xfId="294"/>
    <cellStyle name="Обычный 9 3" xfId="295"/>
    <cellStyle name="Обычный 9 4" xfId="296"/>
    <cellStyle name="Обычный 9 5" xfId="297"/>
    <cellStyle name="Обычный 9 6" xfId="298"/>
    <cellStyle name="Обычный 9 7" xfId="299"/>
    <cellStyle name="Обычный 9 8" xfId="300"/>
    <cellStyle name="Плохой 2" xfId="301"/>
    <cellStyle name="Поле ввода" xfId="302"/>
    <cellStyle name="Пояснение 2" xfId="303"/>
    <cellStyle name="Примечание 2" xfId="304"/>
    <cellStyle name="Примечание 2 2" xfId="305"/>
    <cellStyle name="Примечание 2 2 2" xfId="306"/>
    <cellStyle name="Примечание 2 2 3" xfId="307"/>
    <cellStyle name="Примечание 2 2 4" xfId="308"/>
    <cellStyle name="Примечание 2 2 5" xfId="309"/>
    <cellStyle name="Примечание 2 2 6" xfId="310"/>
    <cellStyle name="Примечание 2 3" xfId="311"/>
    <cellStyle name="Примечание 2 4" xfId="312"/>
    <cellStyle name="Примечание 2 5" xfId="313"/>
    <cellStyle name="Примечание 2 6" xfId="314"/>
    <cellStyle name="Примечание 3" xfId="315"/>
    <cellStyle name="Примечание 4" xfId="316"/>
    <cellStyle name="Примечание 5" xfId="317"/>
    <cellStyle name="Связанная ячейка 2" xfId="318"/>
    <cellStyle name="Стиль 1" xfId="319"/>
    <cellStyle name="ТЕКСТ" xfId="320"/>
    <cellStyle name="Текст предупреждения 2" xfId="321"/>
    <cellStyle name="Текстовый" xfId="322"/>
    <cellStyle name="Тысячи [0]_3Com" xfId="323"/>
    <cellStyle name="Тысячи_3Com" xfId="324"/>
    <cellStyle name="ФИКСИРОВАННЫЙ" xfId="325"/>
    <cellStyle name="Финансовый" xfId="1" builtinId="3"/>
    <cellStyle name="Финансовый 2" xfId="326"/>
    <cellStyle name="Финансовый 2 2" xfId="327"/>
    <cellStyle name="Финансовый 2 3" xfId="328"/>
    <cellStyle name="Финансовый 2 4" xfId="329"/>
    <cellStyle name="Финансовый 2 5" xfId="330"/>
    <cellStyle name="Финансовый 3" xfId="331"/>
    <cellStyle name="Финансовый 4" xfId="337"/>
    <cellStyle name="Формула" xfId="332"/>
    <cellStyle name="ФормулаВБ" xfId="333"/>
    <cellStyle name="ФормулаНаКонтроль" xfId="334"/>
    <cellStyle name="Хороший 2" xfId="335"/>
    <cellStyle name="Џђћ–…ќ’ќ›‰" xfId="3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or\&#1056;&#1072;&#1089;&#1095;&#1077;&#1090;&#1099;%202015\&#1059;&#1089;&#1083;&#1091;&#1075;&#1080;%202015\_&#1059;&#1089;&#1083;&#1091;&#1075;&#1080;%202015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"/>
      <sheetName val="Оглавление"/>
      <sheetName val="оренбург"/>
      <sheetName val="челябинск"/>
      <sheetName val="астрахань"/>
      <sheetName val="саратов"/>
      <sheetName val="Архангельск"/>
      <sheetName val="Тула"/>
      <sheetName val="Республика Коми"/>
      <sheetName val="Псков"/>
      <sheetName val="липецк"/>
      <sheetName val="н.новгород"/>
      <sheetName val="пенза"/>
      <sheetName val="ульяновск"/>
      <sheetName val="вологда"/>
      <sheetName val="киров"/>
      <sheetName val="новгород"/>
      <sheetName val="Свердловск"/>
      <sheetName val="тверь"/>
      <sheetName val="Курск"/>
      <sheetName val="Орел"/>
      <sheetName val="МО"/>
      <sheetName val="лен обл"/>
      <sheetName val="питер"/>
      <sheetName val="владимир"/>
      <sheetName val="удмуртия"/>
      <sheetName val="смоленск"/>
      <sheetName val="мордовия"/>
      <sheetName val="чувашия"/>
      <sheetName val="рязань"/>
      <sheetName val="хакасия"/>
      <sheetName val="калуга"/>
      <sheetName val="брянск"/>
      <sheetName val="карелия"/>
      <sheetName val="кузбасс"/>
      <sheetName val="мурманск"/>
      <sheetName val="кострома"/>
      <sheetName val="омск"/>
      <sheetName val="ярославль"/>
      <sheetName val="волгоград"/>
      <sheetName val="ростов"/>
      <sheetName val="дагестан"/>
      <sheetName val="Башкирия"/>
      <sheetName val="кубань"/>
      <sheetName val="иркутск"/>
      <sheetName val="Амур"/>
      <sheetName val="ЕАО"/>
      <sheetName val="Приморье"/>
      <sheetName val="Хабаровск"/>
      <sheetName val="чита"/>
      <sheetName val="бурятия"/>
      <sheetName val="воронеж"/>
      <sheetName val="алтай"/>
      <sheetName val="Татарстан"/>
      <sheetName val="Самара"/>
      <sheetName val="иваново"/>
      <sheetName val="Марий Эл"/>
      <sheetName val="Томск"/>
      <sheetName val="Пермь"/>
      <sheetName val="Ставрополь"/>
      <sheetName val="Тамбов"/>
      <sheetName val="Белгород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81">
          <cell r="L181">
            <v>36082162</v>
          </cell>
        </row>
        <row r="182">
          <cell r="L182">
            <v>0</v>
          </cell>
        </row>
        <row r="183">
          <cell r="L183">
            <v>66181</v>
          </cell>
        </row>
        <row r="184">
          <cell r="L184">
            <v>2522</v>
          </cell>
        </row>
        <row r="185">
          <cell r="L185">
            <v>38503</v>
          </cell>
        </row>
        <row r="186">
          <cell r="L186">
            <v>53094</v>
          </cell>
        </row>
        <row r="187">
          <cell r="L187">
            <v>195</v>
          </cell>
        </row>
        <row r="188">
          <cell r="L188">
            <v>2665</v>
          </cell>
        </row>
        <row r="189">
          <cell r="L189">
            <v>13016</v>
          </cell>
        </row>
        <row r="190">
          <cell r="L190">
            <v>24502</v>
          </cell>
        </row>
        <row r="191">
          <cell r="L191">
            <v>13210</v>
          </cell>
        </row>
        <row r="192">
          <cell r="L192">
            <v>0</v>
          </cell>
        </row>
        <row r="193">
          <cell r="L193">
            <v>2270</v>
          </cell>
        </row>
        <row r="194">
          <cell r="L194">
            <v>0</v>
          </cell>
        </row>
        <row r="195">
          <cell r="L195">
            <v>20280</v>
          </cell>
        </row>
        <row r="196">
          <cell r="L196">
            <v>248415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15450</v>
          </cell>
        </row>
        <row r="200">
          <cell r="L200">
            <v>0</v>
          </cell>
        </row>
        <row r="201">
          <cell r="L201">
            <v>0</v>
          </cell>
        </row>
        <row r="202">
          <cell r="L202">
            <v>0</v>
          </cell>
        </row>
        <row r="203">
          <cell r="L203">
            <v>0</v>
          </cell>
        </row>
        <row r="204">
          <cell r="L204">
            <v>0</v>
          </cell>
        </row>
        <row r="205">
          <cell r="L205">
            <v>1141</v>
          </cell>
        </row>
        <row r="206">
          <cell r="L206">
            <v>45717</v>
          </cell>
        </row>
        <row r="207">
          <cell r="L207">
            <v>179873</v>
          </cell>
        </row>
        <row r="208">
          <cell r="L208">
            <v>19446</v>
          </cell>
        </row>
        <row r="209">
          <cell r="L209">
            <v>997</v>
          </cell>
        </row>
        <row r="210">
          <cell r="L210">
            <v>64926</v>
          </cell>
        </row>
        <row r="211">
          <cell r="L211">
            <v>25612</v>
          </cell>
        </row>
        <row r="212">
          <cell r="L212">
            <v>193985</v>
          </cell>
        </row>
        <row r="213">
          <cell r="L213">
            <v>744</v>
          </cell>
        </row>
        <row r="214">
          <cell r="L214">
            <v>922849</v>
          </cell>
        </row>
        <row r="215">
          <cell r="L215">
            <v>191076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21" sqref="B21"/>
    </sheetView>
  </sheetViews>
  <sheetFormatPr defaultColWidth="9.140625" defaultRowHeight="22.5" customHeight="1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33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>
      <c r="A4" s="24" t="s">
        <v>19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>
      <c r="A5" s="25"/>
      <c r="B5" s="5" t="s">
        <v>14</v>
      </c>
      <c r="C5" s="3">
        <v>53126093</v>
      </c>
      <c r="D5" s="3">
        <v>44491990</v>
      </c>
      <c r="E5" s="3">
        <v>50400289</v>
      </c>
      <c r="F5" s="3">
        <v>41617372</v>
      </c>
      <c r="G5" s="3">
        <v>38847226</v>
      </c>
      <c r="H5" s="3">
        <v>39574612</v>
      </c>
      <c r="I5" s="3">
        <v>41981346</v>
      </c>
      <c r="J5" s="3">
        <v>42355504</v>
      </c>
      <c r="K5" s="3">
        <v>40754148</v>
      </c>
      <c r="L5" s="3">
        <v>45729460</v>
      </c>
      <c r="M5" s="3">
        <v>46113143</v>
      </c>
      <c r="N5" s="3">
        <v>54322240</v>
      </c>
    </row>
    <row r="6" spans="1:14" ht="22.5" customHeight="1">
      <c r="A6" s="25"/>
      <c r="B6" s="5" t="s">
        <v>15</v>
      </c>
      <c r="C6" s="3">
        <v>60411</v>
      </c>
      <c r="D6" s="3">
        <v>51789</v>
      </c>
      <c r="E6" s="3">
        <v>34041</v>
      </c>
      <c r="F6" s="3">
        <v>27804</v>
      </c>
      <c r="G6" s="3">
        <v>21853</v>
      </c>
      <c r="H6" s="3">
        <v>19942</v>
      </c>
      <c r="I6" s="3">
        <v>19211</v>
      </c>
      <c r="J6" s="3">
        <v>61381</v>
      </c>
      <c r="K6" s="3">
        <v>43259</v>
      </c>
      <c r="L6" s="3">
        <v>49982</v>
      </c>
      <c r="M6" s="3">
        <v>31391</v>
      </c>
      <c r="N6" s="3">
        <v>66344</v>
      </c>
    </row>
    <row r="7" spans="1:14" ht="22.5" customHeight="1">
      <c r="A7" s="25"/>
      <c r="B7" s="5" t="s">
        <v>16</v>
      </c>
      <c r="C7" s="3">
        <v>1448180</v>
      </c>
      <c r="D7" s="3">
        <v>1502820</v>
      </c>
      <c r="E7" s="3">
        <v>1420826</v>
      </c>
      <c r="F7" s="3">
        <v>1415974</v>
      </c>
      <c r="G7" s="3">
        <v>847928</v>
      </c>
      <c r="H7" s="3">
        <v>772513</v>
      </c>
      <c r="I7" s="3">
        <v>866339</v>
      </c>
      <c r="J7" s="3">
        <v>831418</v>
      </c>
      <c r="K7" s="3">
        <v>1015415</v>
      </c>
      <c r="L7" s="3">
        <v>1514267</v>
      </c>
      <c r="M7" s="3">
        <v>1349419</v>
      </c>
      <c r="N7" s="3">
        <v>1506267</v>
      </c>
    </row>
    <row r="8" spans="1:14" ht="22.5" customHeight="1">
      <c r="A8" s="25"/>
      <c r="B8" s="5" t="s">
        <v>17</v>
      </c>
      <c r="C8" s="3">
        <v>599823</v>
      </c>
      <c r="D8" s="3">
        <v>553475</v>
      </c>
      <c r="E8" s="3">
        <v>579059</v>
      </c>
      <c r="F8" s="3">
        <v>451944</v>
      </c>
      <c r="G8" s="3">
        <v>332616</v>
      </c>
      <c r="H8" s="3">
        <v>333504</v>
      </c>
      <c r="I8" s="3">
        <v>344052</v>
      </c>
      <c r="J8" s="3">
        <v>336887</v>
      </c>
      <c r="K8" s="3">
        <v>376204</v>
      </c>
      <c r="L8" s="3">
        <v>469171</v>
      </c>
      <c r="M8" s="3">
        <v>453203</v>
      </c>
      <c r="N8" s="3">
        <v>505328</v>
      </c>
    </row>
    <row r="9" spans="1:14" ht="22.5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22.5" customHeight="1">
      <c r="A10" s="25"/>
      <c r="B10" s="4"/>
      <c r="C10" s="3">
        <v>700973</v>
      </c>
      <c r="D10" s="3">
        <v>676275</v>
      </c>
      <c r="E10" s="3">
        <v>652365</v>
      </c>
      <c r="F10" s="3">
        <v>716525</v>
      </c>
      <c r="G10" s="3">
        <v>828951</v>
      </c>
      <c r="H10" s="3">
        <v>758323</v>
      </c>
      <c r="I10" s="3">
        <v>779610</v>
      </c>
      <c r="J10" s="3">
        <v>731059</v>
      </c>
      <c r="K10" s="3">
        <v>860292</v>
      </c>
      <c r="L10" s="3">
        <v>883806</v>
      </c>
      <c r="M10" s="3">
        <v>781812</v>
      </c>
      <c r="N10" s="3">
        <v>785104</v>
      </c>
    </row>
    <row r="11" spans="1:14" ht="30.75" customHeight="1">
      <c r="A11" s="26"/>
      <c r="B11" s="6" t="s">
        <v>18</v>
      </c>
      <c r="C11" s="3">
        <f t="shared" ref="C11:N11" si="0">SUM(C5:C8,C10)</f>
        <v>55935480</v>
      </c>
      <c r="D11" s="3">
        <f t="shared" si="0"/>
        <v>47276349</v>
      </c>
      <c r="E11" s="3">
        <f t="shared" si="0"/>
        <v>53086580</v>
      </c>
      <c r="F11" s="3">
        <f t="shared" si="0"/>
        <v>44229619</v>
      </c>
      <c r="G11" s="3">
        <f t="shared" si="0"/>
        <v>40878574</v>
      </c>
      <c r="H11" s="3">
        <f t="shared" si="0"/>
        <v>41458894</v>
      </c>
      <c r="I11" s="3">
        <f t="shared" si="0"/>
        <v>43990558</v>
      </c>
      <c r="J11" s="3">
        <f t="shared" si="0"/>
        <v>44316249</v>
      </c>
      <c r="K11" s="3">
        <f t="shared" si="0"/>
        <v>43049318</v>
      </c>
      <c r="L11" s="3">
        <f t="shared" si="0"/>
        <v>48646686</v>
      </c>
      <c r="M11" s="3">
        <f t="shared" si="0"/>
        <v>48728968</v>
      </c>
      <c r="N11" s="3">
        <f t="shared" si="0"/>
        <v>57185283</v>
      </c>
    </row>
    <row r="12" spans="1:14" ht="22.5" customHeight="1">
      <c r="A12" s="30" t="s">
        <v>18</v>
      </c>
      <c r="B12" s="31"/>
      <c r="C12" s="10">
        <f>C11</f>
        <v>55935480</v>
      </c>
      <c r="D12" s="10">
        <f t="shared" ref="D12:N12" si="1">D11</f>
        <v>47276349</v>
      </c>
      <c r="E12" s="10">
        <f t="shared" si="1"/>
        <v>53086580</v>
      </c>
      <c r="F12" s="10">
        <f t="shared" si="1"/>
        <v>44229619</v>
      </c>
      <c r="G12" s="10">
        <f t="shared" si="1"/>
        <v>40878574</v>
      </c>
      <c r="H12" s="10">
        <f t="shared" si="1"/>
        <v>41458894</v>
      </c>
      <c r="I12" s="10">
        <f t="shared" si="1"/>
        <v>43990558</v>
      </c>
      <c r="J12" s="10">
        <f t="shared" si="1"/>
        <v>44316249</v>
      </c>
      <c r="K12" s="10">
        <f t="shared" si="1"/>
        <v>43049318</v>
      </c>
      <c r="L12" s="10">
        <f t="shared" si="1"/>
        <v>48646686</v>
      </c>
      <c r="M12" s="10">
        <f t="shared" si="1"/>
        <v>48728968</v>
      </c>
      <c r="N12" s="10">
        <f t="shared" si="1"/>
        <v>57185283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zoomScale="85" zoomScaleNormal="85" workbookViewId="0">
      <pane xSplit="3" ySplit="3" topLeftCell="U4" activePane="bottomRight" state="frozen"/>
      <selection pane="topRight" activeCell="D1" sqref="D1"/>
      <selection pane="bottomLeft" activeCell="A4" sqref="A4"/>
      <selection pane="bottomRight" activeCell="A19" sqref="A19"/>
    </sheetView>
  </sheetViews>
  <sheetFormatPr defaultRowHeight="15"/>
  <cols>
    <col min="1" max="1" width="19.140625" customWidth="1"/>
    <col min="2" max="2" width="13.42578125" customWidth="1"/>
    <col min="3" max="3" width="13.42578125" hidden="1" customWidth="1"/>
    <col min="4" max="4" width="14.85546875" customWidth="1"/>
    <col min="5" max="6" width="19.42578125" hidden="1" customWidth="1"/>
    <col min="7" max="7" width="14.7109375" customWidth="1"/>
    <col min="8" max="9" width="19.42578125" hidden="1" customWidth="1"/>
    <col min="10" max="10" width="16" customWidth="1"/>
    <col min="11" max="12" width="19.42578125" hidden="1" customWidth="1"/>
    <col min="13" max="13" width="16.28515625" customWidth="1"/>
    <col min="14" max="16" width="19.42578125" hidden="1" customWidth="1"/>
    <col min="17" max="17" width="16.42578125" customWidth="1"/>
    <col min="18" max="20" width="19.42578125" hidden="1" customWidth="1"/>
    <col min="21" max="21" width="16.28515625" customWidth="1"/>
    <col min="22" max="24" width="19.42578125" hidden="1" customWidth="1"/>
    <col min="25" max="25" width="16.5703125" customWidth="1"/>
    <col min="26" max="28" width="19.42578125" hidden="1" customWidth="1"/>
    <col min="29" max="29" width="16.42578125" customWidth="1"/>
    <col min="30" max="32" width="19.42578125" hidden="1" customWidth="1"/>
    <col min="33" max="33" width="15.7109375" customWidth="1"/>
    <col min="34" max="36" width="19.42578125" hidden="1" customWidth="1"/>
    <col min="37" max="37" width="15.5703125" customWidth="1"/>
    <col min="38" max="40" width="19.42578125" hidden="1" customWidth="1"/>
    <col min="41" max="41" width="19.42578125" customWidth="1"/>
    <col min="42" max="44" width="19.42578125" hidden="1" customWidth="1"/>
    <col min="45" max="45" width="19.42578125" customWidth="1"/>
  </cols>
  <sheetData>
    <row r="1" spans="1:4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6" ht="28.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/>
      <c r="U3" s="9" t="s">
        <v>7</v>
      </c>
      <c r="V3" s="9"/>
      <c r="W3" s="9"/>
      <c r="X3" s="9"/>
      <c r="Y3" s="9" t="s">
        <v>8</v>
      </c>
      <c r="Z3" s="9"/>
      <c r="AA3" s="9"/>
      <c r="AB3" s="9"/>
      <c r="AC3" s="9" t="s">
        <v>9</v>
      </c>
      <c r="AD3" s="9"/>
      <c r="AE3" s="9"/>
      <c r="AF3" s="9"/>
      <c r="AG3" s="9" t="s">
        <v>10</v>
      </c>
      <c r="AH3" s="9"/>
      <c r="AI3" s="9"/>
      <c r="AJ3" s="9"/>
      <c r="AK3" s="9" t="s">
        <v>11</v>
      </c>
      <c r="AL3" s="9"/>
      <c r="AM3" s="9"/>
      <c r="AN3" s="9"/>
      <c r="AO3" s="9" t="s">
        <v>12</v>
      </c>
      <c r="AP3" s="9"/>
      <c r="AQ3" s="9"/>
      <c r="AR3" s="9"/>
      <c r="AS3" s="9" t="s">
        <v>13</v>
      </c>
    </row>
    <row r="4" spans="1:46" ht="18" customHeight="1">
      <c r="A4" s="24" t="s">
        <v>33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9"/>
    </row>
    <row r="5" spans="1:46" ht="18" customHeight="1">
      <c r="A5" s="25"/>
      <c r="B5" s="5" t="s">
        <v>14</v>
      </c>
      <c r="C5" s="5">
        <v>0.95072031724294837</v>
      </c>
      <c r="D5" s="3">
        <v>48286338</v>
      </c>
      <c r="E5" s="3"/>
      <c r="F5" s="3">
        <v>0.95231353656762752</v>
      </c>
      <c r="G5" s="3">
        <v>39104510</v>
      </c>
      <c r="H5" s="3"/>
      <c r="I5" s="3">
        <v>1.0624126906737368</v>
      </c>
      <c r="J5" s="3">
        <v>44621723</v>
      </c>
      <c r="K5" s="3"/>
      <c r="L5" s="3">
        <v>0.8717742561269769</v>
      </c>
      <c r="M5" s="3">
        <v>40354917</v>
      </c>
      <c r="N5" s="18"/>
      <c r="O5" s="18"/>
      <c r="P5" s="18">
        <v>1.0039188667847661</v>
      </c>
      <c r="Q5" s="3">
        <v>39059468</v>
      </c>
      <c r="R5" s="3"/>
      <c r="S5" s="3"/>
      <c r="T5" s="3">
        <v>0.95607734672482669</v>
      </c>
      <c r="U5" s="3">
        <v>35803397</v>
      </c>
      <c r="V5" s="3"/>
      <c r="W5" s="3"/>
      <c r="X5" s="3">
        <v>1.0394194451388927</v>
      </c>
      <c r="Y5" s="3">
        <v>37264846</v>
      </c>
      <c r="Z5" s="3"/>
      <c r="AA5" s="3"/>
      <c r="AB5" s="3">
        <v>1.0094473875076659</v>
      </c>
      <c r="AC5" s="3">
        <v>38873029</v>
      </c>
      <c r="AD5" s="3"/>
      <c r="AE5" s="3"/>
      <c r="AF5" s="3">
        <v>1.0454568452178785</v>
      </c>
      <c r="AG5" s="3">
        <v>37454291</v>
      </c>
      <c r="AH5" s="3"/>
      <c r="AI5" s="3"/>
      <c r="AJ5" s="3">
        <v>1.0657013225777132</v>
      </c>
      <c r="AK5" s="3">
        <v>40032779</v>
      </c>
      <c r="AL5" s="3"/>
      <c r="AM5" s="3"/>
      <c r="AN5" s="3">
        <v>1.0613948318590654</v>
      </c>
      <c r="AO5" s="3">
        <v>42690211</v>
      </c>
      <c r="AP5" s="3"/>
      <c r="AQ5" s="3"/>
      <c r="AR5" s="3">
        <v>1.0872850707752419</v>
      </c>
      <c r="AS5" s="3">
        <v>46108808</v>
      </c>
      <c r="AT5" s="17"/>
    </row>
    <row r="6" spans="1:46" ht="18" customHeight="1">
      <c r="A6" s="25"/>
      <c r="B6" s="5" t="s">
        <v>15</v>
      </c>
      <c r="C6" s="5">
        <v>0.90636469834570599</v>
      </c>
      <c r="D6" s="3">
        <f>103794+3867</f>
        <v>107661</v>
      </c>
      <c r="E6" s="3"/>
      <c r="F6" s="3">
        <v>1.1308071610912931</v>
      </c>
      <c r="G6" s="3">
        <f>109130+4164.64</f>
        <v>113294.64</v>
      </c>
      <c r="H6" s="3"/>
      <c r="I6" s="3">
        <v>0.82136449202894291</v>
      </c>
      <c r="J6" s="3">
        <f>107958+4667.2424</f>
        <v>112625.2424</v>
      </c>
      <c r="K6" s="3"/>
      <c r="L6" s="3">
        <v>1.1308069006884574</v>
      </c>
      <c r="M6" s="3">
        <f>111956+3604.2996</f>
        <v>115560.2996</v>
      </c>
      <c r="N6" s="18"/>
      <c r="O6" s="18"/>
      <c r="P6" s="18">
        <v>0.81045839600981706</v>
      </c>
      <c r="Q6" s="3">
        <f>95175+3380.903</f>
        <v>98555.903000000006</v>
      </c>
      <c r="R6" s="3"/>
      <c r="S6" s="3"/>
      <c r="T6" s="3">
        <v>1.0239525637644209</v>
      </c>
      <c r="U6" s="3">
        <f>107069+2713.776</f>
        <v>109782.776</v>
      </c>
      <c r="V6" s="3"/>
      <c r="W6" s="3"/>
      <c r="X6" s="3">
        <v>0.99559248623844454</v>
      </c>
      <c r="Y6" s="20">
        <f>95791+3069.756</f>
        <v>98860.755999999994</v>
      </c>
      <c r="Z6" s="3"/>
      <c r="AA6" s="3"/>
      <c r="AB6" s="3">
        <v>1.0721547734263457</v>
      </c>
      <c r="AC6" s="3">
        <f>97149+4296.896</f>
        <v>101445.89599999999</v>
      </c>
      <c r="AD6" s="3"/>
      <c r="AE6" s="3"/>
      <c r="AF6" s="3">
        <v>1.0596305266826944</v>
      </c>
      <c r="AG6" s="3">
        <f>108373+3736</f>
        <v>112109</v>
      </c>
      <c r="AH6" s="3"/>
      <c r="AI6" s="3"/>
      <c r="AJ6" s="3">
        <v>0.99088233061462028</v>
      </c>
      <c r="AK6" s="3">
        <f>112115+4506</f>
        <v>116621</v>
      </c>
      <c r="AL6" s="3"/>
      <c r="AM6" s="3"/>
      <c r="AN6" s="3">
        <v>1.113210759278175</v>
      </c>
      <c r="AO6" s="3">
        <f>151798+5092</f>
        <v>156890</v>
      </c>
      <c r="AP6" s="3"/>
      <c r="AQ6" s="3"/>
      <c r="AR6" s="3">
        <v>0.96845083346077376</v>
      </c>
      <c r="AS6" s="3">
        <f>153258+4794</f>
        <v>158052</v>
      </c>
      <c r="AT6" s="17"/>
    </row>
    <row r="7" spans="1:46" ht="18" customHeight="1">
      <c r="A7" s="25"/>
      <c r="B7" s="5" t="s">
        <v>16</v>
      </c>
      <c r="C7" s="5">
        <v>0.91634458210482894</v>
      </c>
      <c r="D7" s="3">
        <f>1620588+27576+24284</f>
        <v>1672448</v>
      </c>
      <c r="E7" s="3"/>
      <c r="F7" s="3">
        <v>1.0473354355162534</v>
      </c>
      <c r="G7" s="3">
        <f>1529422+33676+19592</f>
        <v>1582690</v>
      </c>
      <c r="H7" s="3"/>
      <c r="I7" s="3">
        <v>0.91864640923238727</v>
      </c>
      <c r="J7" s="3">
        <f>1517122+28597+16891</f>
        <v>1562610</v>
      </c>
      <c r="K7" s="3"/>
      <c r="L7" s="3">
        <v>0.87406322829938576</v>
      </c>
      <c r="M7" s="3">
        <f>1434085+18062+12137</f>
        <v>1464284</v>
      </c>
      <c r="N7" s="18"/>
      <c r="O7" s="18"/>
      <c r="P7" s="18">
        <v>0.78787157909344119</v>
      </c>
      <c r="Q7" s="3">
        <f>1270215+14488+11363</f>
        <v>1296066</v>
      </c>
      <c r="R7" s="3"/>
      <c r="S7" s="3"/>
      <c r="T7" s="3">
        <v>1.0004196606051021</v>
      </c>
      <c r="U7" s="3">
        <f>1095407+13996+6415.77</f>
        <v>1115818.77</v>
      </c>
      <c r="V7" s="3"/>
      <c r="W7" s="3"/>
      <c r="X7" s="3">
        <v>0.94856688084033447</v>
      </c>
      <c r="Y7" s="20">
        <f>1117679+9285+5891</f>
        <v>1132855</v>
      </c>
      <c r="Z7" s="3"/>
      <c r="AA7" s="3"/>
      <c r="AB7" s="3">
        <v>1.0385980462343232</v>
      </c>
      <c r="AC7" s="20">
        <f>1081863+11326+6327</f>
        <v>1099516</v>
      </c>
      <c r="AD7" s="3"/>
      <c r="AE7" s="3"/>
      <c r="AF7" s="3">
        <v>1.1664165387154304</v>
      </c>
      <c r="AG7" s="20">
        <f>1195105+15006+11443</f>
        <v>1221554</v>
      </c>
      <c r="AH7" s="3"/>
      <c r="AI7" s="3"/>
      <c r="AJ7" s="3">
        <v>1.124436700583838</v>
      </c>
      <c r="AK7" s="20">
        <f>1437387+17870+11708</f>
        <v>1466965</v>
      </c>
      <c r="AL7" s="3"/>
      <c r="AM7" s="3"/>
      <c r="AN7" s="3">
        <v>1.0779918302879976</v>
      </c>
      <c r="AO7" s="20">
        <f>1629024+24146+16072</f>
        <v>1669242</v>
      </c>
      <c r="AP7" s="3"/>
      <c r="AQ7" s="3"/>
      <c r="AR7" s="3">
        <v>1.1448866750845117</v>
      </c>
      <c r="AS7" s="20">
        <f>1627052+33763+23270</f>
        <v>1684085</v>
      </c>
      <c r="AT7" s="17"/>
    </row>
    <row r="8" spans="1:46" ht="18" customHeight="1">
      <c r="A8" s="25"/>
      <c r="B8" s="5" t="s">
        <v>17</v>
      </c>
      <c r="C8" s="5">
        <v>0.94556311050804764</v>
      </c>
      <c r="D8" s="3">
        <f>272486+1240</f>
        <v>273726</v>
      </c>
      <c r="E8" s="3"/>
      <c r="F8" s="3">
        <v>0.98631983287283509</v>
      </c>
      <c r="G8" s="3">
        <f>251289+1219.92</f>
        <v>252508.92</v>
      </c>
      <c r="H8" s="3"/>
      <c r="I8" s="3">
        <v>0.90997620693535686</v>
      </c>
      <c r="J8" s="3">
        <f>232476+1350.48</f>
        <v>233826.48</v>
      </c>
      <c r="K8" s="3"/>
      <c r="L8" s="3">
        <v>1.3456515306099914</v>
      </c>
      <c r="M8" s="3">
        <f>219142+1048.56</f>
        <v>220190.56</v>
      </c>
      <c r="N8" s="18"/>
      <c r="O8" s="18"/>
      <c r="P8" s="18">
        <v>0.56709324423234087</v>
      </c>
      <c r="Q8" s="3">
        <f>197359+644.64</f>
        <v>198003.64</v>
      </c>
      <c r="R8" s="3"/>
      <c r="S8" s="3"/>
      <c r="T8" s="3">
        <v>0.90439755061408278</v>
      </c>
      <c r="U8" s="3">
        <f>163643+150.96</f>
        <v>163793.96</v>
      </c>
      <c r="V8" s="3"/>
      <c r="W8" s="3"/>
      <c r="X8" s="3">
        <v>1.0359848969665941</v>
      </c>
      <c r="Y8" s="20">
        <f>165494+8.16</f>
        <v>165502.16</v>
      </c>
      <c r="Z8" s="3"/>
      <c r="AA8" s="3"/>
      <c r="AB8" s="3">
        <v>0.97302372701271911</v>
      </c>
      <c r="AC8" s="20">
        <f>165226+16.32</f>
        <v>165242.32</v>
      </c>
      <c r="AD8" s="3"/>
      <c r="AE8" s="3"/>
      <c r="AF8" s="3">
        <v>1.2427689885471953</v>
      </c>
      <c r="AG8" s="20">
        <f>197957+640.56</f>
        <v>198597.56</v>
      </c>
      <c r="AH8" s="3"/>
      <c r="AI8" s="3"/>
      <c r="AJ8" s="3">
        <v>1.0988935205051187</v>
      </c>
      <c r="AK8" s="20">
        <f>229931+865</f>
        <v>230796</v>
      </c>
      <c r="AL8" s="3"/>
      <c r="AM8" s="3"/>
      <c r="AN8" s="3">
        <v>1.1505520303093695</v>
      </c>
      <c r="AO8" s="20">
        <f>252935+1240</f>
        <v>254175</v>
      </c>
      <c r="AP8" s="3"/>
      <c r="AQ8" s="3"/>
      <c r="AR8" s="3">
        <v>1.1295429109377335</v>
      </c>
      <c r="AS8" s="20">
        <f>276562+1648</f>
        <v>278210</v>
      </c>
      <c r="AT8" s="17"/>
    </row>
    <row r="9" spans="1:46" ht="18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9"/>
    </row>
    <row r="10" spans="1:46" ht="18" customHeight="1">
      <c r="A10" s="25"/>
      <c r="B10" s="5" t="s">
        <v>17</v>
      </c>
      <c r="C10" s="4">
        <v>1.17609569917944</v>
      </c>
      <c r="D10" s="3">
        <v>824837</v>
      </c>
      <c r="E10" s="3"/>
      <c r="F10" s="3">
        <v>0.90887941676671236</v>
      </c>
      <c r="G10" s="3">
        <v>690885.87009999994</v>
      </c>
      <c r="H10" s="3"/>
      <c r="I10" s="3">
        <v>0.84219293506001991</v>
      </c>
      <c r="J10" s="3">
        <v>663049.00000000012</v>
      </c>
      <c r="K10" s="3"/>
      <c r="L10" s="3">
        <v>0.99092357770688777</v>
      </c>
      <c r="M10" s="3">
        <v>659824</v>
      </c>
      <c r="N10" s="18"/>
      <c r="O10" s="18"/>
      <c r="P10" s="18">
        <v>1.3572287413215423</v>
      </c>
      <c r="Q10" s="3">
        <v>1075134.4912</v>
      </c>
      <c r="R10" s="3"/>
      <c r="S10" s="3"/>
      <c r="T10" s="3">
        <v>0.87133793946375149</v>
      </c>
      <c r="U10" s="3">
        <v>837766.71530000004</v>
      </c>
      <c r="V10" s="3"/>
      <c r="W10" s="3"/>
      <c r="X10" s="3">
        <v>1.0386934007783082</v>
      </c>
      <c r="Y10" s="3">
        <v>838080</v>
      </c>
      <c r="Z10" s="3"/>
      <c r="AA10" s="3"/>
      <c r="AB10" s="3">
        <v>0.9964525958230257</v>
      </c>
      <c r="AC10" s="3">
        <v>824439.99999999988</v>
      </c>
      <c r="AD10" s="3"/>
      <c r="AE10" s="3"/>
      <c r="AF10" s="3">
        <v>1.1532008609405506</v>
      </c>
      <c r="AG10" s="20">
        <v>861198</v>
      </c>
      <c r="AH10" s="3"/>
      <c r="AI10" s="3"/>
      <c r="AJ10" s="3">
        <v>0.85798872837532059</v>
      </c>
      <c r="AK10" s="3">
        <v>804723.93310000002</v>
      </c>
      <c r="AL10" s="3"/>
      <c r="AM10" s="3"/>
      <c r="AN10" s="3">
        <v>0.91223572609012782</v>
      </c>
      <c r="AO10" s="3">
        <v>709687</v>
      </c>
      <c r="AP10" s="3"/>
      <c r="AQ10" s="3"/>
      <c r="AR10" s="3">
        <v>0.97867130425982529</v>
      </c>
      <c r="AS10" s="3">
        <v>726068</v>
      </c>
      <c r="AT10" s="17"/>
    </row>
    <row r="11" spans="1:46" ht="18" customHeight="1">
      <c r="A11" s="30" t="s">
        <v>18</v>
      </c>
      <c r="B11" s="31"/>
      <c r="C11" s="21"/>
      <c r="D11" s="10">
        <f t="shared" ref="D11:AS11" si="0">SUM(D5:D8,D10)</f>
        <v>51165010</v>
      </c>
      <c r="E11" s="10"/>
      <c r="F11" s="10"/>
      <c r="G11" s="10">
        <f t="shared" si="0"/>
        <v>41743889.430100001</v>
      </c>
      <c r="H11" s="10"/>
      <c r="I11" s="10"/>
      <c r="J11" s="10">
        <f>SUM(J5:J8,J10)</f>
        <v>47193833.722399995</v>
      </c>
      <c r="K11" s="10"/>
      <c r="L11" s="10"/>
      <c r="M11" s="10">
        <f t="shared" si="0"/>
        <v>42814775.8596</v>
      </c>
      <c r="N11" s="10"/>
      <c r="O11" s="10"/>
      <c r="P11" s="10"/>
      <c r="Q11" s="10">
        <f>SUM(Q5:Q8,Q10)</f>
        <v>41727228.034199998</v>
      </c>
      <c r="R11" s="10"/>
      <c r="S11" s="10"/>
      <c r="T11" s="10"/>
      <c r="U11" s="10">
        <f t="shared" si="0"/>
        <v>38030559.221300006</v>
      </c>
      <c r="V11" s="10"/>
      <c r="W11" s="10"/>
      <c r="X11" s="10"/>
      <c r="Y11" s="10">
        <f t="shared" si="0"/>
        <v>39500143.915999994</v>
      </c>
      <c r="Z11" s="10"/>
      <c r="AA11" s="10"/>
      <c r="AB11" s="10"/>
      <c r="AC11" s="10">
        <f t="shared" si="0"/>
        <v>41063673.215999998</v>
      </c>
      <c r="AD11" s="10"/>
      <c r="AE11" s="10"/>
      <c r="AF11" s="10"/>
      <c r="AG11" s="10">
        <f t="shared" si="0"/>
        <v>39847749.560000002</v>
      </c>
      <c r="AH11" s="10"/>
      <c r="AI11" s="10"/>
      <c r="AJ11" s="10"/>
      <c r="AK11" s="10">
        <f t="shared" si="0"/>
        <v>42651884.9331</v>
      </c>
      <c r="AL11" s="10"/>
      <c r="AM11" s="10"/>
      <c r="AN11" s="10"/>
      <c r="AO11" s="10">
        <f t="shared" si="0"/>
        <v>45480205</v>
      </c>
      <c r="AP11" s="10"/>
      <c r="AQ11" s="10"/>
      <c r="AR11" s="10"/>
      <c r="AS11" s="10">
        <f t="shared" si="0"/>
        <v>48955223</v>
      </c>
    </row>
    <row r="13" spans="1:46">
      <c r="J13" s="19"/>
      <c r="M13" s="19"/>
    </row>
    <row r="15" spans="1:46">
      <c r="Y15" s="15"/>
      <c r="Z15" s="15"/>
      <c r="AA15" s="15"/>
      <c r="AB15" s="15"/>
      <c r="AG15" s="12"/>
      <c r="AH15" s="12"/>
      <c r="AI15" s="12"/>
      <c r="AJ15" s="12"/>
    </row>
    <row r="16" spans="1:46">
      <c r="U16" s="12"/>
      <c r="V16" s="12"/>
      <c r="W16" s="12"/>
      <c r="X16" s="12"/>
      <c r="Y16" s="15"/>
      <c r="Z16" s="15"/>
      <c r="AA16" s="15"/>
      <c r="AB16" s="15"/>
      <c r="AG16" s="12"/>
      <c r="AH16" s="12"/>
      <c r="AI16" s="12"/>
      <c r="AJ16" s="12"/>
      <c r="AK16" s="12"/>
      <c r="AL16" s="12"/>
      <c r="AM16" s="12"/>
      <c r="AN16" s="12"/>
      <c r="AS16" s="12"/>
    </row>
    <row r="17" spans="17:45">
      <c r="U17" s="12"/>
      <c r="V17" s="12"/>
      <c r="W17" s="12"/>
      <c r="X17" s="12"/>
      <c r="Y17" s="15"/>
      <c r="Z17" s="15"/>
      <c r="AA17" s="15"/>
      <c r="AB17" s="15"/>
      <c r="AG17" s="12"/>
      <c r="AH17" s="12"/>
      <c r="AI17" s="12"/>
      <c r="AJ17" s="12"/>
      <c r="AK17" s="12"/>
      <c r="AL17" s="12"/>
      <c r="AM17" s="12"/>
      <c r="AN17" s="12"/>
      <c r="AS17" s="12"/>
    </row>
    <row r="18" spans="17:45">
      <c r="U18" s="12"/>
      <c r="V18" s="12"/>
      <c r="W18" s="12"/>
      <c r="X18" s="12"/>
      <c r="Y18" s="15"/>
      <c r="Z18" s="15"/>
      <c r="AA18" s="15"/>
      <c r="AB18" s="15"/>
      <c r="AG18" s="12"/>
      <c r="AH18" s="12"/>
      <c r="AI18" s="12"/>
      <c r="AJ18" s="12"/>
      <c r="AO18" s="11"/>
      <c r="AP18" s="11"/>
      <c r="AQ18" s="11"/>
      <c r="AR18" s="11"/>
      <c r="AS18" s="12"/>
    </row>
    <row r="19" spans="17:45">
      <c r="U19" s="12"/>
      <c r="V19" s="12"/>
      <c r="W19" s="12"/>
      <c r="X19" s="12"/>
      <c r="Y19" s="15"/>
      <c r="Z19" s="15"/>
      <c r="AA19" s="15"/>
      <c r="AB19" s="15"/>
      <c r="AG19" s="12"/>
      <c r="AH19" s="12"/>
      <c r="AI19" s="12"/>
      <c r="AJ19" s="12"/>
      <c r="AK19" s="11"/>
      <c r="AL19" s="11"/>
      <c r="AM19" s="11"/>
      <c r="AN19" s="11"/>
      <c r="AS19" s="12"/>
    </row>
    <row r="20" spans="17:45">
      <c r="U20" s="12"/>
      <c r="V20" s="12"/>
      <c r="W20" s="12"/>
      <c r="X20" s="12"/>
      <c r="Y20" s="12"/>
      <c r="Z20" s="12"/>
      <c r="AA20" s="12"/>
      <c r="AB20" s="12"/>
      <c r="AG20" s="12"/>
      <c r="AH20" s="12"/>
      <c r="AI20" s="12"/>
      <c r="AJ20" s="12"/>
    </row>
    <row r="21" spans="17:45"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S21" s="12"/>
    </row>
    <row r="22" spans="17:45">
      <c r="U22" s="14"/>
      <c r="V22" s="14"/>
      <c r="W22" s="14"/>
      <c r="X22" s="14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S22" s="12"/>
    </row>
    <row r="23" spans="17:45">
      <c r="Q23" s="11"/>
      <c r="R23" s="11"/>
      <c r="S23" s="11"/>
      <c r="T23" s="11"/>
      <c r="U23" s="14"/>
      <c r="V23" s="14"/>
      <c r="W23" s="14"/>
      <c r="X23" s="14"/>
      <c r="Y23" s="12"/>
      <c r="Z23" s="12"/>
      <c r="AA23" s="12"/>
      <c r="AB23" s="12"/>
      <c r="AC23" s="12"/>
      <c r="AD23" s="12"/>
      <c r="AE23" s="12"/>
      <c r="AF23" s="12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2"/>
    </row>
    <row r="24" spans="17:45">
      <c r="Q24" s="11"/>
      <c r="R24" s="11"/>
      <c r="S24" s="11"/>
      <c r="T24" s="11"/>
      <c r="U24" s="12"/>
      <c r="V24" s="12"/>
      <c r="W24" s="12"/>
      <c r="X24" s="12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2"/>
    </row>
    <row r="25" spans="17:45">
      <c r="Q25" s="11"/>
      <c r="R25" s="11"/>
      <c r="S25" s="11"/>
      <c r="T25" s="11"/>
      <c r="U25" s="12"/>
      <c r="V25" s="12"/>
      <c r="W25" s="12"/>
      <c r="X25" s="12"/>
    </row>
    <row r="26" spans="17:45">
      <c r="Q26" s="11"/>
      <c r="R26" s="11"/>
      <c r="S26" s="11"/>
      <c r="T26" s="11"/>
      <c r="U26" s="12"/>
      <c r="V26" s="12"/>
      <c r="W26" s="12"/>
      <c r="X26" s="12"/>
    </row>
    <row r="27" spans="17:45">
      <c r="Q27" s="11"/>
      <c r="R27" s="11"/>
      <c r="S27" s="11"/>
      <c r="T27" s="11"/>
    </row>
    <row r="28" spans="17:45">
      <c r="Q28" s="11"/>
      <c r="R28" s="11"/>
      <c r="S28" s="11"/>
      <c r="T28" s="11"/>
    </row>
  </sheetData>
  <mergeCells count="5">
    <mergeCell ref="A2:AS2"/>
    <mergeCell ref="A4:A10"/>
    <mergeCell ref="B4:AS4"/>
    <mergeCell ref="B9:AS9"/>
    <mergeCell ref="A11:B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N10" sqref="N10"/>
    </sheetView>
  </sheetViews>
  <sheetFormatPr defaultRowHeight="15"/>
  <cols>
    <col min="1" max="1" width="19.140625" customWidth="1"/>
    <col min="2" max="2" width="13.42578125" customWidth="1"/>
    <col min="3" max="3" width="14.85546875" customWidth="1"/>
    <col min="4" max="4" width="14.7109375" customWidth="1"/>
    <col min="5" max="5" width="16" customWidth="1"/>
    <col min="6" max="6" width="16.28515625" customWidth="1"/>
    <col min="7" max="7" width="16.42578125" customWidth="1"/>
    <col min="8" max="8" width="16.28515625" customWidth="1"/>
    <col min="9" max="9" width="16.5703125" customWidth="1"/>
    <col min="10" max="10" width="16.42578125" customWidth="1"/>
    <col min="11" max="11" width="15.7109375" customWidth="1"/>
    <col min="12" max="12" width="15.5703125" customWidth="1"/>
    <col min="13" max="14" width="19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8.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18" customHeight="1">
      <c r="A4" s="24" t="s">
        <v>33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18" customHeight="1">
      <c r="A5" s="25"/>
      <c r="B5" s="5" t="s">
        <v>14</v>
      </c>
      <c r="C5" s="3">
        <v>47262129</v>
      </c>
      <c r="D5" s="3">
        <v>40195745</v>
      </c>
      <c r="E5" s="3">
        <v>44218969</v>
      </c>
      <c r="F5" s="3">
        <v>38090475</v>
      </c>
      <c r="G5" s="3">
        <v>38430364</v>
      </c>
      <c r="H5" s="3">
        <v>36675682</v>
      </c>
      <c r="I5" s="3">
        <v>38354879</v>
      </c>
      <c r="J5" s="3">
        <v>38086421</v>
      </c>
      <c r="K5" s="3">
        <v>36940405</v>
      </c>
      <c r="L5" s="3">
        <v>39562268</v>
      </c>
      <c r="M5" s="3">
        <v>42261646</v>
      </c>
      <c r="N5" s="3">
        <v>46916063</v>
      </c>
    </row>
    <row r="6" spans="1:14" ht="18" customHeight="1">
      <c r="A6" s="25"/>
      <c r="B6" s="5" t="s">
        <v>15</v>
      </c>
      <c r="C6" s="3">
        <f>133861+4586</f>
        <v>138447</v>
      </c>
      <c r="D6" s="3">
        <f>34951+4215</f>
        <v>39166</v>
      </c>
      <c r="E6" s="3">
        <f>130205+4035</f>
        <v>134240</v>
      </c>
      <c r="F6" s="3">
        <f>106237+4035</f>
        <v>110272</v>
      </c>
      <c r="G6" s="3">
        <v>111074</v>
      </c>
      <c r="H6" s="3">
        <f>119980+2714</f>
        <v>122694</v>
      </c>
      <c r="I6" s="3">
        <f>113988+3070</f>
        <v>117058</v>
      </c>
      <c r="J6" s="3">
        <f>109530+3810</f>
        <v>113340</v>
      </c>
      <c r="K6" s="3">
        <f>110080+2449</f>
        <v>112529</v>
      </c>
      <c r="L6" s="3">
        <f>130065+4197</f>
        <v>134262</v>
      </c>
      <c r="M6" s="3">
        <f>124861+3723</f>
        <v>128584</v>
      </c>
      <c r="N6" s="3">
        <f>137532+3080</f>
        <v>140612</v>
      </c>
    </row>
    <row r="7" spans="1:14" ht="18" customHeight="1">
      <c r="A7" s="25"/>
      <c r="B7" s="5" t="s">
        <v>16</v>
      </c>
      <c r="C7" s="20">
        <f>1658726+33607+25309</f>
        <v>1717642</v>
      </c>
      <c r="D7" s="20">
        <f>450593+35432+20796</f>
        <v>506821</v>
      </c>
      <c r="E7" s="20">
        <f>1572535+32859+19249</f>
        <v>1624643</v>
      </c>
      <c r="F7" s="20">
        <f>1334740+16864+11855</f>
        <v>1363459</v>
      </c>
      <c r="G7" s="3">
        <v>1152076</v>
      </c>
      <c r="H7" s="3">
        <f>1000554+20412</f>
        <v>1020966</v>
      </c>
      <c r="I7" s="3">
        <f>1022380+15176</f>
        <v>1037556</v>
      </c>
      <c r="J7" s="3">
        <f>1048911+8363+7293</f>
        <v>1064567</v>
      </c>
      <c r="K7" s="3">
        <f>1034782+8064+8571</f>
        <v>1051417</v>
      </c>
      <c r="L7" s="20">
        <f>1398951+15931+13423</f>
        <v>1428305</v>
      </c>
      <c r="M7" s="20">
        <f>1645135+27066+16717</f>
        <v>1688918</v>
      </c>
      <c r="N7" s="20">
        <f>1894940+33265+20956</f>
        <v>1949161</v>
      </c>
    </row>
    <row r="8" spans="1:14" ht="18" customHeight="1">
      <c r="A8" s="25"/>
      <c r="B8" s="5" t="s">
        <v>17</v>
      </c>
      <c r="C8" s="20">
        <f>302962+1616</f>
        <v>304578</v>
      </c>
      <c r="D8" s="20">
        <f>14590+1179</f>
        <v>15769</v>
      </c>
      <c r="E8" s="20">
        <f>247392+1350</f>
        <v>248742</v>
      </c>
      <c r="F8" s="20">
        <f>217450+718</f>
        <v>218168</v>
      </c>
      <c r="G8" s="3">
        <v>205517</v>
      </c>
      <c r="H8" s="3">
        <f>180070+151</f>
        <v>180221</v>
      </c>
      <c r="I8" s="3">
        <f>178844+8</f>
        <v>178852</v>
      </c>
      <c r="J8" s="3">
        <f>186743+20</f>
        <v>186763</v>
      </c>
      <c r="K8" s="3">
        <f>202399+53</f>
        <v>202452</v>
      </c>
      <c r="L8" s="20">
        <f>243476+1122</f>
        <v>244598</v>
      </c>
      <c r="M8" s="20">
        <f>273294+1032</f>
        <v>274326</v>
      </c>
      <c r="N8" s="20">
        <f>273178+1146</f>
        <v>274324</v>
      </c>
    </row>
    <row r="9" spans="1:14" ht="18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18" customHeight="1">
      <c r="A10" s="25"/>
      <c r="B10" s="5" t="s">
        <v>17</v>
      </c>
      <c r="C10" s="3">
        <v>868335.38159999996</v>
      </c>
      <c r="D10" s="3">
        <v>714770</v>
      </c>
      <c r="E10" s="3">
        <v>664694.4767</v>
      </c>
      <c r="F10" s="3">
        <v>673354</v>
      </c>
      <c r="G10" s="3">
        <v>970480</v>
      </c>
      <c r="H10" s="3">
        <v>845768.20650000009</v>
      </c>
      <c r="I10" s="3">
        <v>861562.24989999994</v>
      </c>
      <c r="J10" s="3">
        <v>788935</v>
      </c>
      <c r="K10" s="20">
        <v>838797</v>
      </c>
      <c r="L10" s="3">
        <v>739425.83920000005</v>
      </c>
      <c r="M10" s="3">
        <v>748313.04780000006</v>
      </c>
      <c r="N10" s="3">
        <v>736353</v>
      </c>
    </row>
    <row r="11" spans="1:14" ht="18" customHeight="1">
      <c r="A11" s="30" t="s">
        <v>18</v>
      </c>
      <c r="B11" s="31"/>
      <c r="C11" s="10">
        <f t="shared" ref="C11:N11" si="0">SUM(C5:C8,C10)</f>
        <v>50291131.3816</v>
      </c>
      <c r="D11" s="10">
        <f t="shared" si="0"/>
        <v>41472271</v>
      </c>
      <c r="E11" s="10">
        <f>SUM(E5:E8,E10)</f>
        <v>46891288.4767</v>
      </c>
      <c r="F11" s="10">
        <f t="shared" si="0"/>
        <v>40455728</v>
      </c>
      <c r="G11" s="10">
        <f>SUM(G5:G8,G10)</f>
        <v>40869511</v>
      </c>
      <c r="H11" s="10">
        <f>SUM(H5:H8,H10)</f>
        <v>38845331.206500001</v>
      </c>
      <c r="I11" s="10">
        <f t="shared" si="0"/>
        <v>40549907.249899998</v>
      </c>
      <c r="J11" s="10">
        <f t="shared" si="0"/>
        <v>40240026</v>
      </c>
      <c r="K11" s="10">
        <f t="shared" si="0"/>
        <v>39145600</v>
      </c>
      <c r="L11" s="10">
        <f t="shared" si="0"/>
        <v>42108858.839199997</v>
      </c>
      <c r="M11" s="10">
        <f t="shared" si="0"/>
        <v>45101787.047799997</v>
      </c>
      <c r="N11" s="10">
        <f t="shared" si="0"/>
        <v>50016513</v>
      </c>
    </row>
    <row r="13" spans="1:14">
      <c r="E13" s="19"/>
      <c r="F13" s="19"/>
    </row>
    <row r="15" spans="1:14">
      <c r="I15" s="15"/>
      <c r="K15" s="12"/>
    </row>
    <row r="16" spans="1:14">
      <c r="H16" s="12"/>
      <c r="I16" s="15"/>
      <c r="K16" s="12"/>
      <c r="L16" s="12"/>
      <c r="N16" s="12"/>
    </row>
    <row r="17" spans="7:14">
      <c r="H17" s="12"/>
      <c r="I17" s="15"/>
      <c r="K17" s="12"/>
      <c r="L17" s="12"/>
      <c r="N17" s="12"/>
    </row>
    <row r="18" spans="7:14">
      <c r="H18" s="12"/>
      <c r="I18" s="15"/>
      <c r="K18" s="12"/>
      <c r="M18" s="11"/>
      <c r="N18" s="12"/>
    </row>
    <row r="19" spans="7:14">
      <c r="H19" s="12"/>
      <c r="I19" s="15"/>
      <c r="K19" s="12"/>
      <c r="L19" s="11"/>
      <c r="N19" s="12"/>
    </row>
    <row r="20" spans="7:14">
      <c r="H20" s="12"/>
      <c r="I20" s="12"/>
      <c r="K20" s="12"/>
    </row>
    <row r="21" spans="7:14">
      <c r="H21" s="12"/>
      <c r="I21" s="12"/>
      <c r="J21" s="12"/>
      <c r="K21" s="12"/>
      <c r="N21" s="12"/>
    </row>
    <row r="22" spans="7:14">
      <c r="H22" s="14"/>
      <c r="I22" s="12"/>
      <c r="J22" s="12"/>
      <c r="K22" s="12"/>
      <c r="N22" s="12"/>
    </row>
    <row r="23" spans="7:14">
      <c r="G23" s="11"/>
      <c r="H23" s="14"/>
      <c r="I23" s="12"/>
      <c r="J23" s="12"/>
      <c r="K23" s="11"/>
      <c r="L23" s="11"/>
      <c r="M23" s="11"/>
      <c r="N23" s="12"/>
    </row>
    <row r="24" spans="7:14">
      <c r="G24" s="11"/>
      <c r="H24" s="12"/>
      <c r="K24" s="11"/>
      <c r="L24" s="11"/>
      <c r="M24" s="11"/>
      <c r="N24" s="12"/>
    </row>
    <row r="25" spans="7:14">
      <c r="G25" s="11"/>
      <c r="H25" s="12"/>
    </row>
    <row r="26" spans="7:14">
      <c r="G26" s="11"/>
      <c r="H26" s="12"/>
    </row>
    <row r="27" spans="7:14">
      <c r="G27" s="11"/>
    </row>
    <row r="28" spans="7:14">
      <c r="G28" s="1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N11" sqref="N11"/>
    </sheetView>
  </sheetViews>
  <sheetFormatPr defaultRowHeight="15"/>
  <cols>
    <col min="1" max="1" width="19.140625" customWidth="1"/>
    <col min="2" max="2" width="13.42578125" customWidth="1"/>
    <col min="3" max="3" width="14.85546875" customWidth="1"/>
    <col min="4" max="4" width="14.7109375" customWidth="1"/>
    <col min="5" max="5" width="16" customWidth="1"/>
    <col min="6" max="6" width="16.28515625" customWidth="1"/>
    <col min="7" max="7" width="16.42578125" customWidth="1"/>
    <col min="8" max="8" width="16.28515625" customWidth="1"/>
    <col min="9" max="9" width="16.5703125" customWidth="1"/>
    <col min="10" max="10" width="16.42578125" customWidth="1"/>
    <col min="11" max="11" width="15.7109375" customWidth="1"/>
    <col min="12" max="12" width="15.5703125" customWidth="1"/>
    <col min="13" max="14" width="19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8.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18" customHeight="1">
      <c r="A4" s="24" t="s">
        <v>33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18" customHeight="1">
      <c r="A5" s="25"/>
      <c r="B5" s="5" t="s">
        <v>14</v>
      </c>
      <c r="C5" s="3">
        <v>46340647</v>
      </c>
      <c r="D5" s="3">
        <v>41335587</v>
      </c>
      <c r="E5" s="3">
        <v>42207231</v>
      </c>
      <c r="F5" s="3">
        <v>36134038</v>
      </c>
      <c r="G5" s="3">
        <v>37261655</v>
      </c>
      <c r="H5" s="3">
        <v>35085230</v>
      </c>
      <c r="I5" s="3">
        <v>36492180</v>
      </c>
      <c r="J5" s="3">
        <v>38814399</v>
      </c>
      <c r="K5" s="3">
        <v>34995330</v>
      </c>
      <c r="L5" s="3">
        <v>36100489</v>
      </c>
      <c r="M5" s="3">
        <v>39735344</v>
      </c>
      <c r="N5" s="3">
        <f>43678140</f>
        <v>43678140</v>
      </c>
    </row>
    <row r="6" spans="1:14" ht="18" customHeight="1">
      <c r="A6" s="25"/>
      <c r="B6" s="5" t="s">
        <v>15</v>
      </c>
      <c r="C6" s="3">
        <f>144051+5373</f>
        <v>149424</v>
      </c>
      <c r="D6" s="3">
        <f>137733+5845</f>
        <v>143578</v>
      </c>
      <c r="E6" s="3">
        <f>146109+4478</f>
        <v>150587</v>
      </c>
      <c r="F6" s="3">
        <f>111311+821</f>
        <v>112132</v>
      </c>
      <c r="G6" s="3">
        <f>109999+1099</f>
        <v>111098</v>
      </c>
      <c r="H6" s="3">
        <f>97064+62</f>
        <v>97126</v>
      </c>
      <c r="I6" s="3">
        <f>97783+235</f>
        <v>98018</v>
      </c>
      <c r="J6" s="3">
        <f>101266+618.55568</f>
        <v>101884.55568</v>
      </c>
      <c r="K6" s="3">
        <f>112759+79.77636</f>
        <v>112838.77636</v>
      </c>
      <c r="L6" s="3">
        <f>111650+582.9697</f>
        <v>112232.9697</v>
      </c>
      <c r="M6" s="3">
        <f>125400+1328.33206</f>
        <v>126728.33206</v>
      </c>
      <c r="N6" s="3">
        <f>136152+2384.46928</f>
        <v>138536.46927999999</v>
      </c>
    </row>
    <row r="7" spans="1:14" ht="18" customHeight="1">
      <c r="A7" s="25"/>
      <c r="B7" s="5" t="s">
        <v>16</v>
      </c>
      <c r="C7" s="20">
        <f>2869408+39831+21348</f>
        <v>2930587</v>
      </c>
      <c r="D7" s="20">
        <f>2735848+36161+18533</f>
        <v>2790542</v>
      </c>
      <c r="E7" s="20">
        <f>2729350+30174+59583</f>
        <v>2819107</v>
      </c>
      <c r="F7" s="20">
        <f>2277789+19609+42334</f>
        <v>2339732</v>
      </c>
      <c r="G7" s="3">
        <f>1988120+17815+31189</f>
        <v>2037124</v>
      </c>
      <c r="H7" s="3">
        <f>1749740+10284+19425</f>
        <v>1779449</v>
      </c>
      <c r="I7" s="3">
        <f>1880945+29527</f>
        <v>1910472</v>
      </c>
      <c r="J7" s="3">
        <f>1588702+28454.03</f>
        <v>1617156.03</v>
      </c>
      <c r="K7" s="3">
        <f>1879759+34154.07</f>
        <v>1913913.07</v>
      </c>
      <c r="L7" s="20">
        <f>2384358+62623.16</f>
        <v>2446981.16</v>
      </c>
      <c r="M7" s="20">
        <f>2541198+87019.09</f>
        <v>2628217.09</v>
      </c>
      <c r="N7" s="20">
        <f>2661816+106318.61</f>
        <v>2768134.61</v>
      </c>
    </row>
    <row r="8" spans="1:14" ht="18" customHeight="1">
      <c r="A8" s="25"/>
      <c r="B8" s="5" t="s">
        <v>17</v>
      </c>
      <c r="C8" s="20">
        <f>329825+1277</f>
        <v>331102</v>
      </c>
      <c r="D8" s="20">
        <f>286612+1440</f>
        <v>288052</v>
      </c>
      <c r="E8" s="20">
        <f>269348+1134+2157</f>
        <v>272639</v>
      </c>
      <c r="F8" s="20">
        <f>221953+975+810</f>
        <v>223738</v>
      </c>
      <c r="G8" s="3">
        <f>213289+873+648</f>
        <v>214810</v>
      </c>
      <c r="H8" s="3">
        <f>201053+8+249</f>
        <v>201310</v>
      </c>
      <c r="I8" s="3">
        <f>201667+186</f>
        <v>201853</v>
      </c>
      <c r="J8" s="3">
        <f>181914+179</f>
        <v>182093</v>
      </c>
      <c r="K8" s="3">
        <f>203307+386.88</f>
        <v>203693.88</v>
      </c>
      <c r="L8" s="20">
        <f>239168+1549.8</f>
        <v>240717.8</v>
      </c>
      <c r="M8" s="20">
        <f>262840+2733.04</f>
        <v>265573.03999999998</v>
      </c>
      <c r="N8" s="20">
        <f>283551+3888.48</f>
        <v>287439.48</v>
      </c>
    </row>
    <row r="9" spans="1:14" ht="18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18" customHeight="1">
      <c r="A10" s="25"/>
      <c r="B10" s="5" t="s">
        <v>17</v>
      </c>
      <c r="C10" s="3">
        <v>743623.99999999977</v>
      </c>
      <c r="D10" s="3">
        <f>764165+5572</f>
        <v>769737</v>
      </c>
      <c r="E10" s="3">
        <f>681183+900+1728</f>
        <v>683811</v>
      </c>
      <c r="F10" s="3">
        <f>694765+299+1646</f>
        <v>696710</v>
      </c>
      <c r="G10" s="3">
        <f>917954+99+1646</f>
        <v>919699</v>
      </c>
      <c r="H10" s="3">
        <f>753776+157+864</f>
        <v>754797</v>
      </c>
      <c r="I10" s="3">
        <f>789763+810</f>
        <v>790573</v>
      </c>
      <c r="J10" s="3">
        <f>778972+154+1316</f>
        <v>780442</v>
      </c>
      <c r="K10" s="20">
        <f>750599+154+576</f>
        <v>751329</v>
      </c>
      <c r="L10" s="3">
        <f>708069+175+1152</f>
        <v>709396</v>
      </c>
      <c r="M10" s="3">
        <f>689800+121+1193</f>
        <v>691114</v>
      </c>
      <c r="N10" s="3">
        <f>710811+1004+1358</f>
        <v>713173</v>
      </c>
    </row>
    <row r="11" spans="1:14" ht="18" customHeight="1">
      <c r="A11" s="30" t="s">
        <v>18</v>
      </c>
      <c r="B11" s="31"/>
      <c r="C11" s="10">
        <f t="shared" ref="C11:N11" si="0">SUM(C5:C8,C10)</f>
        <v>50495384</v>
      </c>
      <c r="D11" s="10">
        <f t="shared" si="0"/>
        <v>45327496</v>
      </c>
      <c r="E11" s="10">
        <f>SUM(E5:E8,E10)</f>
        <v>46133375</v>
      </c>
      <c r="F11" s="10">
        <f t="shared" si="0"/>
        <v>39506350</v>
      </c>
      <c r="G11" s="10">
        <f>SUM(G5:G8,G10)</f>
        <v>40544386</v>
      </c>
      <c r="H11" s="10">
        <f>SUM(H5:H8,H10)</f>
        <v>37917912</v>
      </c>
      <c r="I11" s="10">
        <f t="shared" si="0"/>
        <v>39493096</v>
      </c>
      <c r="J11" s="10">
        <f t="shared" si="0"/>
        <v>41495974.58568</v>
      </c>
      <c r="K11" s="10">
        <f t="shared" si="0"/>
        <v>37977104.726360001</v>
      </c>
      <c r="L11" s="10">
        <f t="shared" si="0"/>
        <v>39609816.929700002</v>
      </c>
      <c r="M11" s="10">
        <f t="shared" si="0"/>
        <v>43446976.462059997</v>
      </c>
      <c r="N11" s="10">
        <f t="shared" si="0"/>
        <v>47585423.559279993</v>
      </c>
    </row>
    <row r="13" spans="1:14">
      <c r="E13" s="19"/>
      <c r="F13" s="19"/>
    </row>
    <row r="15" spans="1:14">
      <c r="D15" s="22"/>
      <c r="I15" s="15"/>
      <c r="K15" s="12"/>
    </row>
    <row r="16" spans="1:14">
      <c r="H16" s="12"/>
      <c r="I16" s="15"/>
      <c r="K16" s="12"/>
      <c r="L16" s="12"/>
      <c r="N16" s="12"/>
    </row>
    <row r="17" spans="7:14">
      <c r="H17" s="12"/>
      <c r="I17" s="15"/>
      <c r="K17" s="12"/>
      <c r="L17" s="12"/>
      <c r="N17" s="12"/>
    </row>
    <row r="18" spans="7:14">
      <c r="H18" s="12"/>
      <c r="I18" s="15"/>
      <c r="K18" s="12"/>
      <c r="M18" s="11"/>
      <c r="N18" s="12"/>
    </row>
    <row r="19" spans="7:14">
      <c r="H19" s="12"/>
      <c r="I19" s="15"/>
      <c r="K19" s="12"/>
      <c r="L19" s="11"/>
      <c r="N19" s="12"/>
    </row>
    <row r="20" spans="7:14">
      <c r="H20" s="12"/>
      <c r="I20" s="12"/>
      <c r="K20" s="12"/>
    </row>
    <row r="21" spans="7:14">
      <c r="H21" s="12"/>
      <c r="I21" s="12"/>
      <c r="J21" s="12"/>
      <c r="K21" s="12"/>
      <c r="N21" s="12"/>
    </row>
    <row r="22" spans="7:14">
      <c r="H22" s="14"/>
      <c r="I22" s="12"/>
      <c r="J22" s="12"/>
      <c r="K22" s="12"/>
      <c r="N22" s="12"/>
    </row>
    <row r="23" spans="7:14">
      <c r="G23" s="11"/>
      <c r="H23" s="14"/>
      <c r="I23" s="12"/>
      <c r="J23" s="12"/>
      <c r="K23" s="11"/>
      <c r="L23" s="11"/>
      <c r="M23" s="11"/>
      <c r="N23" s="12"/>
    </row>
    <row r="24" spans="7:14">
      <c r="G24" s="11"/>
      <c r="H24" s="12"/>
      <c r="K24" s="11"/>
      <c r="L24" s="11"/>
      <c r="M24" s="11"/>
      <c r="N24" s="12"/>
    </row>
    <row r="25" spans="7:14">
      <c r="G25" s="11"/>
      <c r="H25" s="12"/>
    </row>
    <row r="26" spans="7:14">
      <c r="G26" s="11"/>
      <c r="H26" s="12"/>
    </row>
    <row r="27" spans="7:14">
      <c r="G27" s="11"/>
    </row>
    <row r="28" spans="7:14">
      <c r="G28" s="1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9" sqref="A9:XFD9"/>
    </sheetView>
  </sheetViews>
  <sheetFormatPr defaultColWidth="9.140625" defaultRowHeight="22.5" customHeight="1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33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>
      <c r="A4" s="24" t="s">
        <v>19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>
      <c r="A5" s="25"/>
      <c r="B5" s="5" t="s">
        <v>14</v>
      </c>
      <c r="C5" s="3">
        <v>51022379</v>
      </c>
      <c r="D5" s="3">
        <v>45728149</v>
      </c>
      <c r="E5" s="3">
        <v>47776081</v>
      </c>
      <c r="F5" s="3">
        <v>39910886</v>
      </c>
      <c r="G5" s="3">
        <v>38650243</v>
      </c>
      <c r="H5" s="3">
        <v>39831247</v>
      </c>
      <c r="I5" s="3">
        <v>41024441</v>
      </c>
      <c r="J5" s="3">
        <v>42791562</v>
      </c>
      <c r="K5" s="3">
        <v>42791137</v>
      </c>
      <c r="L5" s="3">
        <v>48298398</v>
      </c>
      <c r="M5" s="3">
        <v>50618794</v>
      </c>
      <c r="N5" s="3">
        <v>52633011</v>
      </c>
    </row>
    <row r="6" spans="1:14" ht="22.5" customHeight="1">
      <c r="A6" s="25"/>
      <c r="B6" s="5" t="s">
        <v>15</v>
      </c>
      <c r="C6" s="3">
        <v>96668</v>
      </c>
      <c r="D6" s="3">
        <v>102367</v>
      </c>
      <c r="E6" s="3">
        <v>86246</v>
      </c>
      <c r="F6" s="3">
        <v>83613</v>
      </c>
      <c r="G6" s="3">
        <v>47966</v>
      </c>
      <c r="H6" s="3">
        <v>42332</v>
      </c>
      <c r="I6" s="3">
        <v>38457</v>
      </c>
      <c r="J6" s="3">
        <v>42684</v>
      </c>
      <c r="K6" s="3">
        <v>42250</v>
      </c>
      <c r="L6" s="3">
        <v>68378</v>
      </c>
      <c r="M6" s="3">
        <v>74670</v>
      </c>
      <c r="N6" s="3">
        <v>91983</v>
      </c>
    </row>
    <row r="7" spans="1:14" ht="22.5" customHeight="1">
      <c r="A7" s="25"/>
      <c r="B7" s="5" t="s">
        <v>16</v>
      </c>
      <c r="C7" s="3">
        <v>1501729</v>
      </c>
      <c r="D7" s="3">
        <v>1679447</v>
      </c>
      <c r="E7" s="3">
        <v>1319831</v>
      </c>
      <c r="F7" s="3">
        <v>1347398</v>
      </c>
      <c r="G7" s="3">
        <v>893203</v>
      </c>
      <c r="H7" s="3">
        <v>876624</v>
      </c>
      <c r="I7" s="3">
        <v>902781</v>
      </c>
      <c r="J7" s="3">
        <v>869785</v>
      </c>
      <c r="K7" s="3">
        <v>1062607</v>
      </c>
      <c r="L7" s="3">
        <v>1365464</v>
      </c>
      <c r="M7" s="3">
        <v>1627557</v>
      </c>
      <c r="N7" s="3">
        <v>1580667</v>
      </c>
    </row>
    <row r="8" spans="1:14" ht="22.5" customHeight="1">
      <c r="A8" s="25"/>
      <c r="B8" s="5" t="s">
        <v>17</v>
      </c>
      <c r="C8" s="3">
        <v>499147</v>
      </c>
      <c r="D8" s="3">
        <v>429805</v>
      </c>
      <c r="E8" s="3">
        <v>414988</v>
      </c>
      <c r="F8" s="3">
        <v>339976</v>
      </c>
      <c r="G8" s="3">
        <v>247529</v>
      </c>
      <c r="H8" s="3">
        <v>261003.00000000003</v>
      </c>
      <c r="I8" s="3">
        <v>254217</v>
      </c>
      <c r="J8" s="3">
        <v>271007</v>
      </c>
      <c r="K8" s="3">
        <v>258403</v>
      </c>
      <c r="L8" s="3">
        <v>315802</v>
      </c>
      <c r="M8" s="3">
        <v>364043</v>
      </c>
      <c r="N8" s="3">
        <v>392449</v>
      </c>
    </row>
    <row r="9" spans="1:14" ht="22.5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22.5" customHeight="1">
      <c r="A10" s="25"/>
      <c r="B10" s="4"/>
      <c r="C10" s="3">
        <v>807378</v>
      </c>
      <c r="D10" s="3">
        <v>871361</v>
      </c>
      <c r="E10" s="3">
        <v>846691</v>
      </c>
      <c r="F10" s="3">
        <v>915799</v>
      </c>
      <c r="G10" s="3">
        <v>983992</v>
      </c>
      <c r="H10" s="3">
        <v>944855</v>
      </c>
      <c r="I10" s="3">
        <v>916084</v>
      </c>
      <c r="J10" s="3">
        <v>881059</v>
      </c>
      <c r="K10" s="3">
        <v>869330</v>
      </c>
      <c r="L10" s="3">
        <v>801936</v>
      </c>
      <c r="M10" s="3">
        <v>807348</v>
      </c>
      <c r="N10" s="3">
        <v>891345</v>
      </c>
    </row>
    <row r="11" spans="1:14" ht="30.75" customHeight="1">
      <c r="A11" s="26"/>
      <c r="B11" s="6" t="s">
        <v>18</v>
      </c>
      <c r="C11" s="3">
        <f t="shared" ref="C11:N11" si="0">SUM(C5:C8,C10)</f>
        <v>53927301</v>
      </c>
      <c r="D11" s="3">
        <f t="shared" si="0"/>
        <v>48811129</v>
      </c>
      <c r="E11" s="3">
        <f t="shared" si="0"/>
        <v>50443837</v>
      </c>
      <c r="F11" s="3">
        <f t="shared" si="0"/>
        <v>42597672</v>
      </c>
      <c r="G11" s="3">
        <f t="shared" si="0"/>
        <v>40822933</v>
      </c>
      <c r="H11" s="3">
        <f t="shared" si="0"/>
        <v>41956061</v>
      </c>
      <c r="I11" s="3">
        <f t="shared" si="0"/>
        <v>43135980</v>
      </c>
      <c r="J11" s="3">
        <f t="shared" si="0"/>
        <v>44856097</v>
      </c>
      <c r="K11" s="3">
        <f t="shared" si="0"/>
        <v>45023727</v>
      </c>
      <c r="L11" s="3">
        <f t="shared" si="0"/>
        <v>50849978</v>
      </c>
      <c r="M11" s="3">
        <f t="shared" si="0"/>
        <v>53492412</v>
      </c>
      <c r="N11" s="3">
        <f t="shared" si="0"/>
        <v>55589455</v>
      </c>
    </row>
    <row r="12" spans="1:14" ht="22.5" customHeight="1">
      <c r="A12" s="30" t="s">
        <v>18</v>
      </c>
      <c r="B12" s="31"/>
      <c r="C12" s="10">
        <f>C11</f>
        <v>53927301</v>
      </c>
      <c r="D12" s="10">
        <f t="shared" ref="D12:M12" si="1">D11</f>
        <v>48811129</v>
      </c>
      <c r="E12" s="10">
        <f t="shared" si="1"/>
        <v>50443837</v>
      </c>
      <c r="F12" s="10">
        <f t="shared" si="1"/>
        <v>42597672</v>
      </c>
      <c r="G12" s="10">
        <f t="shared" si="1"/>
        <v>40822933</v>
      </c>
      <c r="H12" s="10">
        <f t="shared" si="1"/>
        <v>41956061</v>
      </c>
      <c r="I12" s="10">
        <f t="shared" si="1"/>
        <v>43135980</v>
      </c>
      <c r="J12" s="10">
        <f>J11</f>
        <v>44856097</v>
      </c>
      <c r="K12" s="10">
        <f t="shared" si="1"/>
        <v>45023727</v>
      </c>
      <c r="L12" s="10">
        <f>L11</f>
        <v>50849978</v>
      </c>
      <c r="M12" s="10">
        <f t="shared" si="1"/>
        <v>53492412</v>
      </c>
      <c r="N12" s="10">
        <f>N11</f>
        <v>55589455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C11" sqref="C11"/>
    </sheetView>
  </sheetViews>
  <sheetFormatPr defaultColWidth="9.140625" defaultRowHeight="22.5" customHeight="1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33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>
      <c r="A4" s="24" t="s">
        <v>19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>
      <c r="A5" s="25"/>
      <c r="B5" s="5" t="s">
        <v>14</v>
      </c>
      <c r="C5" s="3">
        <v>49550677</v>
      </c>
      <c r="D5" s="3">
        <v>43680361</v>
      </c>
      <c r="E5" s="3">
        <v>48172698</v>
      </c>
      <c r="F5" s="3">
        <v>39405764</v>
      </c>
      <c r="G5" s="3">
        <v>39093310</v>
      </c>
      <c r="H5" s="3">
        <f>[1]владимир!L181+[1]владимир!L212</f>
        <v>36276147</v>
      </c>
      <c r="I5" s="3">
        <v>37053747</v>
      </c>
      <c r="J5" s="3">
        <v>38749112</v>
      </c>
      <c r="K5" s="3">
        <v>40206170</v>
      </c>
      <c r="L5" s="3">
        <v>43872633</v>
      </c>
      <c r="M5" s="3">
        <v>43777163</v>
      </c>
      <c r="N5" s="3">
        <v>46370359</v>
      </c>
    </row>
    <row r="6" spans="1:14" ht="22.5" customHeight="1">
      <c r="A6" s="25"/>
      <c r="B6" s="5" t="s">
        <v>15</v>
      </c>
      <c r="C6" s="3">
        <v>70800</v>
      </c>
      <c r="D6" s="3">
        <v>80019</v>
      </c>
      <c r="E6" s="3">
        <v>63754</v>
      </c>
      <c r="F6" s="3">
        <v>42803</v>
      </c>
      <c r="G6" s="3">
        <v>25399</v>
      </c>
      <c r="H6" s="3">
        <f>[1]владимир!L182+[1]владимир!L213</f>
        <v>744</v>
      </c>
      <c r="I6" s="3">
        <v>3803</v>
      </c>
      <c r="J6" s="3">
        <v>386</v>
      </c>
      <c r="K6" s="3">
        <v>48780</v>
      </c>
      <c r="L6" s="3">
        <v>73542</v>
      </c>
      <c r="M6" s="3">
        <v>74909</v>
      </c>
      <c r="N6" s="3">
        <v>72942</v>
      </c>
    </row>
    <row r="7" spans="1:14" ht="22.5" customHeight="1">
      <c r="A7" s="25"/>
      <c r="B7" s="5" t="s">
        <v>16</v>
      </c>
      <c r="C7" s="3">
        <v>1442005</v>
      </c>
      <c r="D7" s="3">
        <v>1592165</v>
      </c>
      <c r="E7" s="3">
        <v>1521813</v>
      </c>
      <c r="F7" s="3">
        <v>1296542</v>
      </c>
      <c r="G7" s="3">
        <v>996200</v>
      </c>
      <c r="H7" s="3">
        <f>[1]владимир!L183+[1]владимир!L214</f>
        <v>989030</v>
      </c>
      <c r="I7" s="3">
        <v>1062301</v>
      </c>
      <c r="J7" s="3">
        <v>1084338</v>
      </c>
      <c r="K7" s="3">
        <v>1052917</v>
      </c>
      <c r="L7" s="3">
        <v>1413472</v>
      </c>
      <c r="M7" s="3">
        <v>1573285</v>
      </c>
      <c r="N7" s="3">
        <v>1629991</v>
      </c>
    </row>
    <row r="8" spans="1:14" ht="22.5" customHeight="1">
      <c r="A8" s="25"/>
      <c r="B8" s="5" t="s">
        <v>17</v>
      </c>
      <c r="C8" s="3">
        <v>416039</v>
      </c>
      <c r="D8" s="3">
        <v>341785</v>
      </c>
      <c r="E8" s="3">
        <v>315553</v>
      </c>
      <c r="F8" s="3">
        <v>291785</v>
      </c>
      <c r="G8" s="3">
        <v>205874</v>
      </c>
      <c r="H8" s="3">
        <f>[1]владимир!L184+[1]владимир!L215</f>
        <v>193598</v>
      </c>
      <c r="I8" s="3">
        <v>201307</v>
      </c>
      <c r="J8" s="3">
        <v>207505</v>
      </c>
      <c r="K8" s="3">
        <v>215503</v>
      </c>
      <c r="L8" s="3">
        <v>303754</v>
      </c>
      <c r="M8" s="3">
        <v>302855</v>
      </c>
      <c r="N8" s="3">
        <v>294719</v>
      </c>
    </row>
    <row r="9" spans="1:14" ht="22.5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22.5" customHeight="1">
      <c r="A10" s="25"/>
      <c r="B10" s="4"/>
      <c r="C10" s="3">
        <v>894827</v>
      </c>
      <c r="D10" s="3">
        <v>904747</v>
      </c>
      <c r="E10" s="3">
        <v>908800</v>
      </c>
      <c r="F10" s="3">
        <v>1404360</v>
      </c>
      <c r="G10" s="3">
        <v>1203443</v>
      </c>
      <c r="H10" s="3">
        <f>SUM([1]владимир!$L$185:$L$211)</f>
        <v>769312</v>
      </c>
      <c r="I10" s="3">
        <v>803059</v>
      </c>
      <c r="J10" s="3">
        <v>859158</v>
      </c>
      <c r="K10" s="3">
        <v>850216</v>
      </c>
      <c r="L10" s="3">
        <v>807494</v>
      </c>
      <c r="M10" s="3">
        <v>732393</v>
      </c>
      <c r="N10" s="3">
        <v>745053</v>
      </c>
    </row>
    <row r="11" spans="1:14" ht="22.5" customHeight="1">
      <c r="A11" s="30" t="s">
        <v>18</v>
      </c>
      <c r="B11" s="31"/>
      <c r="C11" s="10">
        <f t="shared" ref="C11:N11" si="0">SUM(C5:C8,C10)</f>
        <v>52374348</v>
      </c>
      <c r="D11" s="10">
        <f t="shared" si="0"/>
        <v>46599077</v>
      </c>
      <c r="E11" s="10">
        <f t="shared" si="0"/>
        <v>50982618</v>
      </c>
      <c r="F11" s="10">
        <f t="shared" si="0"/>
        <v>42441254</v>
      </c>
      <c r="G11" s="10">
        <f t="shared" si="0"/>
        <v>41524226</v>
      </c>
      <c r="H11" s="10">
        <f t="shared" si="0"/>
        <v>38228831</v>
      </c>
      <c r="I11" s="10">
        <f t="shared" si="0"/>
        <v>39124217</v>
      </c>
      <c r="J11" s="10">
        <f t="shared" si="0"/>
        <v>40900499</v>
      </c>
      <c r="K11" s="10">
        <f t="shared" si="0"/>
        <v>42373586</v>
      </c>
      <c r="L11" s="10">
        <f t="shared" si="0"/>
        <v>46470895</v>
      </c>
      <c r="M11" s="10">
        <f t="shared" si="0"/>
        <v>46460605</v>
      </c>
      <c r="N11" s="10">
        <f t="shared" si="0"/>
        <v>49113064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sqref="A1:N11"/>
    </sheetView>
  </sheetViews>
  <sheetFormatPr defaultColWidth="9.140625" defaultRowHeight="22.5" customHeight="1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33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>
      <c r="A4" s="24" t="s">
        <v>26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22.5" customHeight="1">
      <c r="A5" s="25"/>
      <c r="B5" s="5" t="s">
        <v>14</v>
      </c>
      <c r="C5" s="3">
        <v>47143199</v>
      </c>
      <c r="D5" s="3">
        <v>41505025</v>
      </c>
      <c r="E5" s="3">
        <v>41307209</v>
      </c>
      <c r="F5" s="3">
        <v>35801725</v>
      </c>
      <c r="G5" s="3">
        <v>36797121</v>
      </c>
      <c r="H5" s="3">
        <v>37403397</v>
      </c>
      <c r="I5" s="3">
        <v>37931554</v>
      </c>
      <c r="J5" s="3">
        <v>38566992</v>
      </c>
      <c r="K5" s="3">
        <v>38877059</v>
      </c>
      <c r="L5" s="3">
        <v>43831475</v>
      </c>
      <c r="M5" s="3">
        <v>45111071</v>
      </c>
      <c r="N5" s="3">
        <v>50697086</v>
      </c>
    </row>
    <row r="6" spans="1:14" ht="22.5" customHeight="1">
      <c r="A6" s="25"/>
      <c r="B6" s="5" t="s">
        <v>15</v>
      </c>
      <c r="C6" s="3">
        <v>87523</v>
      </c>
      <c r="D6" s="3">
        <v>76049</v>
      </c>
      <c r="E6" s="3">
        <v>72931</v>
      </c>
      <c r="F6" s="3">
        <v>61859</v>
      </c>
      <c r="G6" s="3">
        <v>52306</v>
      </c>
      <c r="H6" s="3">
        <v>50196</v>
      </c>
      <c r="I6" s="3">
        <v>50037</v>
      </c>
      <c r="J6" s="3">
        <v>53805</v>
      </c>
      <c r="K6" s="3">
        <v>59969</v>
      </c>
      <c r="L6" s="3">
        <v>69676</v>
      </c>
      <c r="M6" s="3">
        <v>89204</v>
      </c>
      <c r="N6" s="3">
        <v>98137</v>
      </c>
    </row>
    <row r="7" spans="1:14" ht="22.5" customHeight="1">
      <c r="A7" s="25"/>
      <c r="B7" s="5" t="s">
        <v>16</v>
      </c>
      <c r="C7" s="3">
        <v>1477443</v>
      </c>
      <c r="D7" s="3">
        <v>1479824</v>
      </c>
      <c r="E7" s="3">
        <v>1278906</v>
      </c>
      <c r="F7" s="3">
        <v>1132459</v>
      </c>
      <c r="G7" s="3">
        <v>773974</v>
      </c>
      <c r="H7" s="3">
        <v>867500</v>
      </c>
      <c r="I7" s="3">
        <v>830546</v>
      </c>
      <c r="J7" s="3">
        <v>872633</v>
      </c>
      <c r="K7" s="3">
        <v>981005</v>
      </c>
      <c r="L7" s="3">
        <v>1258444</v>
      </c>
      <c r="M7" s="3">
        <v>1426456</v>
      </c>
      <c r="N7" s="3">
        <v>1461100</v>
      </c>
    </row>
    <row r="8" spans="1:14" ht="22.5" customHeight="1">
      <c r="A8" s="25"/>
      <c r="B8" s="5" t="s">
        <v>17</v>
      </c>
      <c r="C8" s="3">
        <v>301415</v>
      </c>
      <c r="D8" s="3">
        <v>306307</v>
      </c>
      <c r="E8" s="3">
        <v>258683</v>
      </c>
      <c r="F8" s="3">
        <v>223454</v>
      </c>
      <c r="G8" s="3">
        <v>173882</v>
      </c>
      <c r="H8" s="3">
        <v>176615</v>
      </c>
      <c r="I8" s="3">
        <v>159240</v>
      </c>
      <c r="J8" s="3">
        <v>190106</v>
      </c>
      <c r="K8" s="3">
        <v>188192</v>
      </c>
      <c r="L8" s="3">
        <v>207507</v>
      </c>
      <c r="M8" s="3">
        <v>264519</v>
      </c>
      <c r="N8" s="3">
        <v>299030</v>
      </c>
    </row>
    <row r="9" spans="1:14" ht="22.5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22.5" customHeight="1">
      <c r="A10" s="25"/>
      <c r="B10" s="4"/>
      <c r="C10" s="3">
        <v>841411</v>
      </c>
      <c r="D10" s="3">
        <v>736957</v>
      </c>
      <c r="E10" s="3">
        <v>708728</v>
      </c>
      <c r="F10" s="3">
        <v>804539</v>
      </c>
      <c r="G10" s="3">
        <v>764901</v>
      </c>
      <c r="H10" s="3">
        <v>774653</v>
      </c>
      <c r="I10" s="3">
        <v>740609</v>
      </c>
      <c r="J10" s="3">
        <v>740595</v>
      </c>
      <c r="K10" s="3">
        <v>843425</v>
      </c>
      <c r="L10" s="3">
        <v>842335</v>
      </c>
      <c r="M10" s="3">
        <v>757209</v>
      </c>
      <c r="N10" s="3">
        <v>675749</v>
      </c>
    </row>
    <row r="11" spans="1:14" ht="22.5" customHeight="1">
      <c r="A11" s="30" t="s">
        <v>18</v>
      </c>
      <c r="B11" s="31"/>
      <c r="C11" s="10">
        <f t="shared" ref="C11:N11" si="0">SUM(C5:C8,C10)</f>
        <v>49850991</v>
      </c>
      <c r="D11" s="10">
        <f t="shared" si="0"/>
        <v>44104162</v>
      </c>
      <c r="E11" s="10">
        <f t="shared" si="0"/>
        <v>43626457</v>
      </c>
      <c r="F11" s="10">
        <f t="shared" si="0"/>
        <v>38024036</v>
      </c>
      <c r="G11" s="10">
        <f t="shared" si="0"/>
        <v>38562184</v>
      </c>
      <c r="H11" s="10">
        <f t="shared" si="0"/>
        <v>39272361</v>
      </c>
      <c r="I11" s="10">
        <f t="shared" si="0"/>
        <v>39711986</v>
      </c>
      <c r="J11" s="10">
        <f t="shared" si="0"/>
        <v>40424131</v>
      </c>
      <c r="K11" s="10">
        <f t="shared" si="0"/>
        <v>40949650</v>
      </c>
      <c r="L11" s="10">
        <f t="shared" ref="L11" si="1">SUM(L5:L8,L10)</f>
        <v>46209437</v>
      </c>
      <c r="M11" s="10">
        <f t="shared" si="0"/>
        <v>47648459</v>
      </c>
      <c r="N11" s="10">
        <f t="shared" si="0"/>
        <v>53231102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="70" zoomScaleNormal="70" workbookViewId="0">
      <selection activeCell="G28" sqref="G28:G29"/>
    </sheetView>
  </sheetViews>
  <sheetFormatPr defaultRowHeight="15"/>
  <cols>
    <col min="1" max="1" width="14.7109375" customWidth="1"/>
    <col min="2" max="2" width="13.42578125" customWidth="1"/>
    <col min="3" max="3" width="17.85546875" customWidth="1"/>
    <col min="4" max="4" width="15.28515625" customWidth="1"/>
    <col min="5" max="6" width="16.7109375" customWidth="1"/>
    <col min="7" max="8" width="17.7109375" customWidth="1"/>
    <col min="9" max="10" width="16.7109375" customWidth="1"/>
    <col min="11" max="11" width="16.28515625" customWidth="1"/>
    <col min="12" max="12" width="16.140625" customWidth="1"/>
    <col min="13" max="13" width="16.85546875" customWidth="1"/>
    <col min="14" max="14" width="19" customWidth="1"/>
    <col min="18" max="18" width="16" bestFit="1" customWidth="1"/>
    <col min="19" max="19" width="9.7109375" bestFit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8.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>
      <c r="A4" s="24" t="s">
        <v>26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>
      <c r="A5" s="25"/>
      <c r="B5" s="5" t="s">
        <v>14</v>
      </c>
      <c r="C5" s="3">
        <v>48790056</v>
      </c>
      <c r="D5" s="3">
        <v>42629683</v>
      </c>
      <c r="E5" s="3">
        <v>45160352</v>
      </c>
      <c r="F5" s="3">
        <v>40494042</v>
      </c>
      <c r="G5" s="3">
        <v>40641142</v>
      </c>
      <c r="H5" s="3">
        <v>37888759</v>
      </c>
      <c r="I5" s="3">
        <v>39138147</v>
      </c>
      <c r="J5" s="3">
        <v>39569856</v>
      </c>
      <c r="K5" s="3">
        <v>40492902</v>
      </c>
      <c r="L5" s="3">
        <v>43968932</v>
      </c>
      <c r="M5" s="3">
        <v>45563923</v>
      </c>
      <c r="N5" s="3">
        <v>49233203</v>
      </c>
    </row>
    <row r="6" spans="1:14">
      <c r="A6" s="25"/>
      <c r="B6" s="5" t="s">
        <v>15</v>
      </c>
      <c r="C6" s="3">
        <v>146061</v>
      </c>
      <c r="D6" s="3">
        <v>141607</v>
      </c>
      <c r="E6" s="3">
        <v>124494</v>
      </c>
      <c r="F6" s="3">
        <v>121020</v>
      </c>
      <c r="G6" s="3">
        <v>94157</v>
      </c>
      <c r="H6" s="3">
        <v>110867</v>
      </c>
      <c r="I6" s="3">
        <v>122353</v>
      </c>
      <c r="J6" s="3">
        <v>110990</v>
      </c>
      <c r="K6" s="3">
        <v>117977</v>
      </c>
      <c r="L6" s="3">
        <v>156931</v>
      </c>
      <c r="M6" s="3">
        <v>190342</v>
      </c>
      <c r="N6" s="3">
        <v>135933</v>
      </c>
    </row>
    <row r="7" spans="1:14">
      <c r="A7" s="25"/>
      <c r="B7" s="5" t="s">
        <v>16</v>
      </c>
      <c r="C7" s="3">
        <v>1440591</v>
      </c>
      <c r="D7" s="3">
        <v>1566963</v>
      </c>
      <c r="E7" s="3">
        <v>1299106</v>
      </c>
      <c r="F7" s="3">
        <v>1238258</v>
      </c>
      <c r="G7" s="3">
        <v>975949</v>
      </c>
      <c r="H7" s="3">
        <v>964589</v>
      </c>
      <c r="I7" s="3">
        <v>839945</v>
      </c>
      <c r="J7" s="3">
        <v>942705</v>
      </c>
      <c r="K7" s="3">
        <v>1021490</v>
      </c>
      <c r="L7" s="3">
        <v>1463186</v>
      </c>
      <c r="M7" s="3">
        <v>1573086</v>
      </c>
      <c r="N7" s="3">
        <v>1548240</v>
      </c>
    </row>
    <row r="8" spans="1:14">
      <c r="A8" s="25"/>
      <c r="B8" s="5" t="s">
        <v>17</v>
      </c>
      <c r="C8" s="3">
        <v>285387</v>
      </c>
      <c r="D8" s="3">
        <v>262276</v>
      </c>
      <c r="E8" s="3">
        <v>236929</v>
      </c>
      <c r="F8" s="3">
        <v>210861</v>
      </c>
      <c r="G8" s="3">
        <v>194958</v>
      </c>
      <c r="H8" s="3">
        <v>177561</v>
      </c>
      <c r="I8" s="3">
        <v>158185</v>
      </c>
      <c r="J8" s="3">
        <v>170383</v>
      </c>
      <c r="K8" s="3">
        <v>176059</v>
      </c>
      <c r="L8" s="3">
        <v>225460</v>
      </c>
      <c r="M8" s="3">
        <v>243851</v>
      </c>
      <c r="N8" s="3">
        <v>238257</v>
      </c>
    </row>
    <row r="9" spans="1:14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>
      <c r="A10" s="25"/>
      <c r="B10" s="4" t="s">
        <v>24</v>
      </c>
      <c r="C10" s="3">
        <v>791089</v>
      </c>
      <c r="D10" s="3">
        <v>757843</v>
      </c>
      <c r="E10" s="3">
        <v>686151</v>
      </c>
      <c r="F10" s="3">
        <v>684945</v>
      </c>
      <c r="G10" s="3">
        <v>855377</v>
      </c>
      <c r="H10" s="3">
        <v>940407</v>
      </c>
      <c r="I10" s="3">
        <v>639991</v>
      </c>
      <c r="J10" s="3">
        <v>634173</v>
      </c>
      <c r="K10" s="3">
        <v>715228</v>
      </c>
      <c r="L10" s="3">
        <v>740086</v>
      </c>
      <c r="M10" s="3">
        <v>608400</v>
      </c>
      <c r="N10" s="13">
        <v>595615</v>
      </c>
    </row>
    <row r="11" spans="1:14">
      <c r="A11" s="30" t="s">
        <v>18</v>
      </c>
      <c r="B11" s="31"/>
      <c r="C11" s="10">
        <f t="shared" ref="C11:N11" si="0">SUM(C5:C8,C10)</f>
        <v>51453184</v>
      </c>
      <c r="D11" s="10">
        <f t="shared" si="0"/>
        <v>45358372</v>
      </c>
      <c r="E11" s="10">
        <f t="shared" si="0"/>
        <v>47507032</v>
      </c>
      <c r="F11" s="10">
        <f t="shared" si="0"/>
        <v>42749126</v>
      </c>
      <c r="G11" s="10">
        <f t="shared" ref="G11" si="1">SUM(G5:G8,G10)</f>
        <v>42761583</v>
      </c>
      <c r="H11" s="10">
        <f t="shared" si="0"/>
        <v>40082183</v>
      </c>
      <c r="I11" s="10">
        <f t="shared" ref="I11:J11" si="2">SUM(I5:I8,I10)</f>
        <v>40898621</v>
      </c>
      <c r="J11" s="10">
        <f t="shared" si="2"/>
        <v>41428107</v>
      </c>
      <c r="K11" s="10">
        <f t="shared" ref="K11" si="3">SUM(K5:K8,K10)</f>
        <v>42523656</v>
      </c>
      <c r="L11" s="10">
        <f t="shared" si="0"/>
        <v>46554595</v>
      </c>
      <c r="M11" s="10">
        <f t="shared" si="0"/>
        <v>48179602</v>
      </c>
      <c r="N11" s="10">
        <f t="shared" si="0"/>
        <v>51751248</v>
      </c>
    </row>
    <row r="17" spans="11:19">
      <c r="R17" s="11"/>
    </row>
    <row r="18" spans="11:19">
      <c r="R18" s="11"/>
    </row>
    <row r="19" spans="11:19">
      <c r="R19" s="11"/>
      <c r="S19" s="12"/>
    </row>
    <row r="20" spans="11:19">
      <c r="R20" s="11"/>
    </row>
    <row r="21" spans="11:19">
      <c r="K21" s="11"/>
      <c r="L21" s="11"/>
      <c r="M21" s="11"/>
      <c r="N21" s="12"/>
    </row>
    <row r="22" spans="11:19">
      <c r="K22" s="11"/>
      <c r="L22" s="11"/>
      <c r="M22" s="11"/>
      <c r="N22" s="12"/>
    </row>
    <row r="23" spans="11:19">
      <c r="K23" s="11"/>
      <c r="L23" s="11"/>
      <c r="M23" s="11"/>
      <c r="N23" s="12"/>
    </row>
    <row r="24" spans="11:19">
      <c r="K24" s="11"/>
      <c r="L24" s="11"/>
      <c r="M24" s="11"/>
      <c r="N24" s="12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5" zoomScaleNormal="85" workbookViewId="0">
      <selection activeCell="G28" sqref="G28:G29"/>
    </sheetView>
  </sheetViews>
  <sheetFormatPr defaultRowHeight="15"/>
  <cols>
    <col min="1" max="1" width="19.140625" customWidth="1"/>
    <col min="2" max="2" width="13.42578125" customWidth="1"/>
    <col min="3" max="3" width="17.85546875" customWidth="1"/>
    <col min="4" max="4" width="15.28515625" customWidth="1"/>
    <col min="5" max="6" width="16.7109375" customWidth="1"/>
    <col min="7" max="8" width="17.7109375" customWidth="1"/>
    <col min="9" max="10" width="16.7109375" customWidth="1"/>
    <col min="11" max="11" width="16.28515625" customWidth="1"/>
    <col min="12" max="12" width="16.140625" customWidth="1"/>
    <col min="13" max="13" width="16.85546875" customWidth="1"/>
    <col min="14" max="14" width="19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8.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>
      <c r="A4" s="24" t="s">
        <v>26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>
      <c r="A5" s="25"/>
      <c r="B5" s="5" t="s">
        <v>14</v>
      </c>
      <c r="C5" s="3">
        <v>48665236.999999993</v>
      </c>
      <c r="D5" s="3">
        <v>45546725</v>
      </c>
      <c r="E5" s="3">
        <v>51424015.999999993</v>
      </c>
      <c r="F5" s="3">
        <v>43247206</v>
      </c>
      <c r="G5" s="3">
        <v>42511281</v>
      </c>
      <c r="H5" s="3">
        <v>42656323</v>
      </c>
      <c r="I5" s="3">
        <v>42853407.999999993</v>
      </c>
      <c r="J5" s="3">
        <v>42104052</v>
      </c>
      <c r="K5" s="3">
        <v>41189075</v>
      </c>
      <c r="L5" s="3">
        <v>43788826</v>
      </c>
      <c r="M5" s="3">
        <v>47536620</v>
      </c>
      <c r="N5" s="3">
        <v>51570182</v>
      </c>
    </row>
    <row r="6" spans="1:14">
      <c r="A6" s="25"/>
      <c r="B6" s="5" t="s">
        <v>15</v>
      </c>
      <c r="C6" s="3">
        <v>150177</v>
      </c>
      <c r="D6" s="3">
        <v>145162</v>
      </c>
      <c r="E6" s="3">
        <v>145295.00000000003</v>
      </c>
      <c r="F6" s="3">
        <v>128556</v>
      </c>
      <c r="G6" s="3">
        <v>123721</v>
      </c>
      <c r="H6" s="3">
        <v>135036</v>
      </c>
      <c r="I6" s="3">
        <v>113853</v>
      </c>
      <c r="J6" s="3">
        <v>126995</v>
      </c>
      <c r="K6" s="3">
        <v>125917</v>
      </c>
      <c r="L6" s="3">
        <v>151034</v>
      </c>
      <c r="M6" s="3">
        <v>162132</v>
      </c>
      <c r="N6" s="3">
        <v>193831</v>
      </c>
    </row>
    <row r="7" spans="1:14">
      <c r="A7" s="25"/>
      <c r="B7" s="5" t="s">
        <v>16</v>
      </c>
      <c r="C7" s="3">
        <v>1574002</v>
      </c>
      <c r="D7" s="3">
        <v>1586322</v>
      </c>
      <c r="E7" s="3">
        <v>1558747</v>
      </c>
      <c r="F7" s="3">
        <v>1295837</v>
      </c>
      <c r="G7" s="3">
        <v>939305</v>
      </c>
      <c r="H7" s="3">
        <v>925131</v>
      </c>
      <c r="I7" s="3">
        <v>960107</v>
      </c>
      <c r="J7" s="3">
        <v>982297</v>
      </c>
      <c r="K7" s="3">
        <v>999238</v>
      </c>
      <c r="L7" s="3">
        <v>1359948</v>
      </c>
      <c r="M7" s="3">
        <v>1569534</v>
      </c>
      <c r="N7" s="3">
        <v>1658405</v>
      </c>
    </row>
    <row r="8" spans="1:14">
      <c r="A8" s="25"/>
      <c r="B8" s="5" t="s">
        <v>17</v>
      </c>
      <c r="C8" s="3">
        <v>289305</v>
      </c>
      <c r="D8" s="3">
        <v>251258</v>
      </c>
      <c r="E8" s="3">
        <v>246816.00000000003</v>
      </c>
      <c r="F8" s="3">
        <v>218081</v>
      </c>
      <c r="G8" s="3">
        <v>169127</v>
      </c>
      <c r="H8" s="3">
        <v>171498</v>
      </c>
      <c r="I8" s="3">
        <v>166108.00000000003</v>
      </c>
      <c r="J8" s="3">
        <v>164741</v>
      </c>
      <c r="K8" s="3">
        <v>168073</v>
      </c>
      <c r="L8" s="3">
        <v>203400</v>
      </c>
      <c r="M8" s="3">
        <v>235649</v>
      </c>
      <c r="N8" s="3">
        <v>252775</v>
      </c>
    </row>
    <row r="9" spans="1:14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>
      <c r="A10" s="25"/>
      <c r="B10" s="4" t="s">
        <v>24</v>
      </c>
      <c r="C10" s="3">
        <v>692122.00000000023</v>
      </c>
      <c r="D10" s="3">
        <v>604527</v>
      </c>
      <c r="E10" s="3">
        <v>663792</v>
      </c>
      <c r="F10" s="3">
        <v>614559</v>
      </c>
      <c r="G10" s="3">
        <v>718588</v>
      </c>
      <c r="H10" s="3">
        <v>833462</v>
      </c>
      <c r="I10" s="3">
        <v>725575.00000000012</v>
      </c>
      <c r="J10" s="3">
        <v>722270</v>
      </c>
      <c r="K10" s="3">
        <v>706027</v>
      </c>
      <c r="L10" s="3">
        <v>759827</v>
      </c>
      <c r="M10" s="3">
        <v>658864</v>
      </c>
      <c r="N10" s="3">
        <v>712818</v>
      </c>
    </row>
    <row r="11" spans="1:14">
      <c r="A11" s="30" t="s">
        <v>18</v>
      </c>
      <c r="B11" s="31"/>
      <c r="C11" s="10">
        <f t="shared" ref="C11:N11" si="0">SUM(C5:C8,C10)</f>
        <v>51370842.999999993</v>
      </c>
      <c r="D11" s="10">
        <f t="shared" si="0"/>
        <v>48133994</v>
      </c>
      <c r="E11" s="10">
        <f t="shared" si="0"/>
        <v>54038665.999999993</v>
      </c>
      <c r="F11" s="10">
        <f t="shared" si="0"/>
        <v>45504239</v>
      </c>
      <c r="G11" s="10">
        <f t="shared" si="0"/>
        <v>44462022</v>
      </c>
      <c r="H11" s="10">
        <f t="shared" si="0"/>
        <v>44721450</v>
      </c>
      <c r="I11" s="10">
        <f t="shared" si="0"/>
        <v>44819050.999999993</v>
      </c>
      <c r="J11" s="10">
        <f t="shared" si="0"/>
        <v>44100355</v>
      </c>
      <c r="K11" s="10">
        <f t="shared" si="0"/>
        <v>43188330</v>
      </c>
      <c r="L11" s="10">
        <f t="shared" si="0"/>
        <v>46263035</v>
      </c>
      <c r="M11" s="10">
        <f t="shared" si="0"/>
        <v>50162799</v>
      </c>
      <c r="N11" s="10">
        <f t="shared" si="0"/>
        <v>54388011</v>
      </c>
    </row>
    <row r="15" spans="1:14">
      <c r="I15" s="15"/>
      <c r="K15" s="12"/>
    </row>
    <row r="16" spans="1:14">
      <c r="H16" s="12"/>
      <c r="I16" s="15"/>
      <c r="K16" s="12"/>
      <c r="L16" s="12"/>
      <c r="N16" s="12"/>
    </row>
    <row r="17" spans="7:14">
      <c r="H17" s="12"/>
      <c r="I17" s="15"/>
      <c r="K17" s="12"/>
      <c r="L17" s="12"/>
      <c r="N17" s="12"/>
    </row>
    <row r="18" spans="7:14">
      <c r="H18" s="12"/>
      <c r="I18" s="15"/>
      <c r="K18" s="12"/>
      <c r="M18" s="11"/>
      <c r="N18" s="12"/>
    </row>
    <row r="19" spans="7:14">
      <c r="H19" s="12"/>
      <c r="I19" s="15"/>
      <c r="K19" s="12"/>
      <c r="L19" s="11"/>
      <c r="N19" s="12"/>
    </row>
    <row r="20" spans="7:14">
      <c r="H20" s="12"/>
      <c r="I20" s="12"/>
      <c r="K20" s="12"/>
    </row>
    <row r="21" spans="7:14">
      <c r="H21" s="12"/>
      <c r="I21" s="12"/>
      <c r="J21" s="12"/>
      <c r="K21" s="12"/>
      <c r="N21" s="12"/>
    </row>
    <row r="22" spans="7:14">
      <c r="H22" s="14"/>
      <c r="I22" s="12"/>
      <c r="J22" s="12"/>
      <c r="K22" s="12"/>
      <c r="N22" s="12"/>
    </row>
    <row r="23" spans="7:14">
      <c r="G23" s="11"/>
      <c r="H23" s="14"/>
      <c r="I23" s="12"/>
      <c r="J23" s="12"/>
      <c r="K23" s="11"/>
      <c r="L23" s="11"/>
      <c r="M23" s="11"/>
      <c r="N23" s="12"/>
    </row>
    <row r="24" spans="7:14">
      <c r="G24" s="11"/>
      <c r="H24" s="12"/>
      <c r="K24" s="11"/>
      <c r="L24" s="11"/>
      <c r="M24" s="11"/>
      <c r="N24" s="12"/>
    </row>
    <row r="25" spans="7:14">
      <c r="G25" s="11"/>
      <c r="H25" s="12"/>
    </row>
    <row r="26" spans="7:14">
      <c r="G26" s="11"/>
      <c r="H26" s="12"/>
    </row>
    <row r="27" spans="7:14">
      <c r="G27" s="11"/>
    </row>
    <row r="28" spans="7:14">
      <c r="G28" s="1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5" zoomScaleNormal="75" workbookViewId="0">
      <selection activeCell="G28" sqref="G28:G29"/>
    </sheetView>
  </sheetViews>
  <sheetFormatPr defaultRowHeight="15"/>
  <cols>
    <col min="1" max="1" width="19.140625" customWidth="1"/>
    <col min="2" max="2" width="13.42578125" customWidth="1"/>
    <col min="3" max="14" width="19.42578125" customWidth="1"/>
    <col min="15" max="15" width="9.140625" style="17"/>
    <col min="17" max="17" width="11.140625" style="17" bestFit="1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ht="28.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7" ht="18" customHeight="1">
      <c r="A4" s="24" t="s">
        <v>26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7" ht="18" customHeight="1">
      <c r="A5" s="25"/>
      <c r="B5" s="5" t="s">
        <v>14</v>
      </c>
      <c r="C5" s="3">
        <v>51566688</v>
      </c>
      <c r="D5" s="3">
        <v>44200920</v>
      </c>
      <c r="E5" s="3">
        <v>48470375</v>
      </c>
      <c r="F5" s="3">
        <v>44020056</v>
      </c>
      <c r="G5" s="3">
        <v>43069064</v>
      </c>
      <c r="H5" s="3">
        <v>39066824</v>
      </c>
      <c r="I5" s="3">
        <v>40465881</v>
      </c>
      <c r="J5" s="3">
        <v>40491829</v>
      </c>
      <c r="K5" s="3">
        <v>38287571</v>
      </c>
      <c r="L5" s="3">
        <v>43236033</v>
      </c>
      <c r="M5" s="3">
        <v>45337740</v>
      </c>
      <c r="N5" s="3">
        <v>47196465</v>
      </c>
      <c r="O5" s="17">
        <f>N5/M5</f>
        <v>1.0409973015858311</v>
      </c>
      <c r="Q5" s="16">
        <f>AVERAGE(C5:N5)</f>
        <v>43784120.5</v>
      </c>
    </row>
    <row r="6" spans="1:17" ht="18" customHeight="1">
      <c r="A6" s="25"/>
      <c r="B6" s="5" t="s">
        <v>15</v>
      </c>
      <c r="C6" s="3">
        <v>167415</v>
      </c>
      <c r="D6" s="3">
        <f>123926+43593</f>
        <v>167519</v>
      </c>
      <c r="E6" s="3">
        <f>126266+55881</f>
        <v>182147</v>
      </c>
      <c r="F6" s="3">
        <f>115935+59647</f>
        <v>175582</v>
      </c>
      <c r="G6" s="3">
        <f>92854+43386</f>
        <v>136240</v>
      </c>
      <c r="H6" s="3">
        <f>119485+49250</f>
        <v>168735</v>
      </c>
      <c r="I6" s="3">
        <f>100997+53137</f>
        <v>154134</v>
      </c>
      <c r="J6" s="3">
        <f>102763+53511</f>
        <v>156274</v>
      </c>
      <c r="K6" s="3">
        <f>72724+99785</f>
        <v>172509</v>
      </c>
      <c r="L6" s="3">
        <f>113422+83437</f>
        <v>196859</v>
      </c>
      <c r="M6" s="3">
        <f>125231+78028</f>
        <v>203259</v>
      </c>
      <c r="N6" s="3">
        <f>158462+66447</f>
        <v>224909</v>
      </c>
      <c r="O6" s="17">
        <f t="shared" ref="O6:O8" si="0">N6/M6</f>
        <v>1.106514348688127</v>
      </c>
      <c r="Q6" s="16">
        <f t="shared" ref="Q6:Q11" si="1">AVERAGE(C6:N6)</f>
        <v>175465.16666666666</v>
      </c>
    </row>
    <row r="7" spans="1:17" ht="18" customHeight="1">
      <c r="A7" s="25"/>
      <c r="B7" s="5" t="s">
        <v>16</v>
      </c>
      <c r="C7" s="3">
        <v>1582575</v>
      </c>
      <c r="D7" s="3">
        <f>1449502+27166+14000</f>
        <v>1490668</v>
      </c>
      <c r="E7" s="3">
        <f>1490527+31037+14746</f>
        <v>1536310</v>
      </c>
      <c r="F7" s="3">
        <f>1357468+20233+11026</f>
        <v>1388727</v>
      </c>
      <c r="G7" s="3">
        <f>972465+10102+8979</f>
        <v>991546</v>
      </c>
      <c r="H7" s="3">
        <f>1080108+7550+6305</f>
        <v>1093963</v>
      </c>
      <c r="I7" s="3">
        <f>1065496+9143+6898</f>
        <v>1081537</v>
      </c>
      <c r="J7" s="3">
        <f>1088242+9922+10445</f>
        <v>1108609</v>
      </c>
      <c r="K7" s="3">
        <f>7249+9446+1171819</f>
        <v>1188514</v>
      </c>
      <c r="L7" s="3">
        <f>1420062+6958+12902</f>
        <v>1439922</v>
      </c>
      <c r="M7" s="3">
        <f>1610058+20986+14714</f>
        <v>1645758</v>
      </c>
      <c r="N7" s="3">
        <f>1651403+28270+17112</f>
        <v>1696785</v>
      </c>
      <c r="O7" s="17">
        <f t="shared" si="0"/>
        <v>1.0310051660086113</v>
      </c>
      <c r="Q7" s="16">
        <f t="shared" si="1"/>
        <v>1353742.8333333333</v>
      </c>
    </row>
    <row r="8" spans="1:17" ht="18" customHeight="1">
      <c r="A8" s="25"/>
      <c r="B8" s="5" t="s">
        <v>17</v>
      </c>
      <c r="C8" s="3">
        <v>258988</v>
      </c>
      <c r="D8" s="3">
        <v>257239</v>
      </c>
      <c r="E8" s="3">
        <v>225224</v>
      </c>
      <c r="F8" s="3">
        <v>250794</v>
      </c>
      <c r="G8" s="3">
        <v>162220</v>
      </c>
      <c r="H8" s="3">
        <v>170775</v>
      </c>
      <c r="I8" s="3">
        <v>163984</v>
      </c>
      <c r="J8" s="3">
        <v>168499</v>
      </c>
      <c r="K8" s="3">
        <v>185956</v>
      </c>
      <c r="L8" s="3">
        <v>204166</v>
      </c>
      <c r="M8" s="3">
        <v>212817</v>
      </c>
      <c r="N8" s="3">
        <v>227819</v>
      </c>
      <c r="O8" s="17">
        <f t="shared" si="0"/>
        <v>1.0704924888519245</v>
      </c>
      <c r="Q8" s="16">
        <f t="shared" si="1"/>
        <v>207373.41666666666</v>
      </c>
    </row>
    <row r="9" spans="1:17" ht="18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Q9" s="16"/>
    </row>
    <row r="10" spans="1:17" ht="18" customHeight="1">
      <c r="A10" s="25"/>
      <c r="B10" s="4" t="s">
        <v>24</v>
      </c>
      <c r="C10" s="3">
        <v>753171</v>
      </c>
      <c r="D10" s="3">
        <v>682895</v>
      </c>
      <c r="E10" s="3">
        <f>577564</f>
        <v>577564</v>
      </c>
      <c r="F10" s="3">
        <v>644004</v>
      </c>
      <c r="G10" s="3">
        <v>788271</v>
      </c>
      <c r="H10" s="3">
        <v>784100</v>
      </c>
      <c r="I10" s="3">
        <v>824402</v>
      </c>
      <c r="J10" s="3">
        <v>895501</v>
      </c>
      <c r="K10" s="3">
        <v>791423</v>
      </c>
      <c r="L10" s="3">
        <v>780442</v>
      </c>
      <c r="M10" s="3">
        <v>653430</v>
      </c>
      <c r="N10" s="3">
        <v>687343</v>
      </c>
      <c r="O10" s="17">
        <f>N10/M10</f>
        <v>1.0518999739834411</v>
      </c>
      <c r="Q10" s="16">
        <f t="shared" si="1"/>
        <v>738545.5</v>
      </c>
    </row>
    <row r="11" spans="1:17" ht="18" customHeight="1">
      <c r="A11" s="30" t="s">
        <v>18</v>
      </c>
      <c r="B11" s="31"/>
      <c r="C11" s="10">
        <f t="shared" ref="C11:N11" si="2">SUM(C5:C8,C10)</f>
        <v>54328837</v>
      </c>
      <c r="D11" s="10">
        <f t="shared" si="2"/>
        <v>46799241</v>
      </c>
      <c r="E11" s="10">
        <f t="shared" si="2"/>
        <v>50991620</v>
      </c>
      <c r="F11" s="10">
        <f t="shared" si="2"/>
        <v>46479163</v>
      </c>
      <c r="G11" s="10">
        <f>SUM(G5:G8,G10)</f>
        <v>45147341</v>
      </c>
      <c r="H11" s="10">
        <f t="shared" si="2"/>
        <v>41284397</v>
      </c>
      <c r="I11" s="10">
        <f t="shared" si="2"/>
        <v>42689938</v>
      </c>
      <c r="J11" s="10">
        <f t="shared" si="2"/>
        <v>42820712</v>
      </c>
      <c r="K11" s="10">
        <f t="shared" si="2"/>
        <v>40625973</v>
      </c>
      <c r="L11" s="10">
        <f t="shared" si="2"/>
        <v>45857422</v>
      </c>
      <c r="M11" s="10">
        <f t="shared" si="2"/>
        <v>48053004</v>
      </c>
      <c r="N11" s="10">
        <f t="shared" si="2"/>
        <v>50033321</v>
      </c>
      <c r="Q11" s="16">
        <f t="shared" si="1"/>
        <v>46259247.416666664</v>
      </c>
    </row>
    <row r="15" spans="1:17">
      <c r="I15" s="15"/>
      <c r="K15" s="12"/>
    </row>
    <row r="16" spans="1:17">
      <c r="H16" s="12"/>
      <c r="I16" s="15"/>
      <c r="K16" s="12"/>
      <c r="L16" s="12"/>
      <c r="N16" s="12"/>
    </row>
    <row r="17" spans="7:14">
      <c r="H17" s="12"/>
      <c r="I17" s="15"/>
      <c r="K17" s="12"/>
      <c r="L17" s="12"/>
      <c r="N17" s="12"/>
    </row>
    <row r="18" spans="7:14">
      <c r="H18" s="12"/>
      <c r="I18" s="15"/>
      <c r="K18" s="12"/>
      <c r="M18" s="11"/>
      <c r="N18" s="12"/>
    </row>
    <row r="19" spans="7:14">
      <c r="H19" s="12"/>
      <c r="I19" s="15"/>
      <c r="K19" s="12"/>
      <c r="L19" s="11"/>
      <c r="N19" s="12"/>
    </row>
    <row r="20" spans="7:14">
      <c r="H20" s="12"/>
      <c r="I20" s="12"/>
      <c r="K20" s="12"/>
    </row>
    <row r="21" spans="7:14">
      <c r="H21" s="12"/>
      <c r="I21" s="12"/>
      <c r="J21" s="12"/>
      <c r="K21" s="12"/>
      <c r="N21" s="12"/>
    </row>
    <row r="22" spans="7:14">
      <c r="H22" s="14"/>
      <c r="I22" s="12"/>
      <c r="J22" s="12"/>
      <c r="K22" s="12"/>
      <c r="N22" s="12"/>
    </row>
    <row r="23" spans="7:14">
      <c r="G23" s="11"/>
      <c r="H23" s="14"/>
      <c r="I23" s="12"/>
      <c r="J23" s="12"/>
      <c r="K23" s="11"/>
      <c r="L23" s="11"/>
      <c r="M23" s="11"/>
      <c r="N23" s="12"/>
    </row>
    <row r="24" spans="7:14">
      <c r="G24" s="11"/>
      <c r="H24" s="12"/>
      <c r="K24" s="11"/>
      <c r="L24" s="11"/>
      <c r="M24" s="11"/>
      <c r="N24" s="12"/>
    </row>
    <row r="25" spans="7:14">
      <c r="G25" s="11"/>
      <c r="H25" s="12"/>
    </row>
    <row r="26" spans="7:14">
      <c r="G26" s="11"/>
      <c r="H26" s="12"/>
    </row>
    <row r="27" spans="7:14">
      <c r="G27" s="11"/>
    </row>
    <row r="28" spans="7:14">
      <c r="G28" s="1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75" zoomScaleNormal="75" workbookViewId="0">
      <selection activeCell="B10" sqref="B10"/>
    </sheetView>
  </sheetViews>
  <sheetFormatPr defaultRowHeight="15"/>
  <cols>
    <col min="1" max="1" width="19.140625" customWidth="1"/>
    <col min="2" max="2" width="13.42578125" customWidth="1"/>
    <col min="3" max="6" width="19.42578125" customWidth="1"/>
    <col min="7" max="7" width="19.42578125" hidden="1" customWidth="1"/>
    <col min="8" max="8" width="19.42578125" customWidth="1"/>
    <col min="9" max="9" width="19.42578125" hidden="1" customWidth="1"/>
    <col min="10" max="10" width="19.42578125" customWidth="1"/>
    <col min="11" max="11" width="19.42578125" hidden="1" customWidth="1"/>
    <col min="12" max="12" width="19.42578125" customWidth="1"/>
    <col min="13" max="13" width="19.42578125" hidden="1" customWidth="1"/>
    <col min="14" max="14" width="19.42578125" customWidth="1"/>
    <col min="15" max="15" width="19.42578125" hidden="1" customWidth="1"/>
    <col min="16" max="16" width="19.42578125" customWidth="1"/>
    <col min="17" max="17" width="19.42578125" hidden="1" customWidth="1"/>
    <col min="18" max="18" width="19.42578125" customWidth="1"/>
    <col min="19" max="19" width="19.42578125" hidden="1" customWidth="1"/>
    <col min="20" max="20" width="19.42578125" customWidth="1"/>
    <col min="21" max="21" width="19.42578125" hidden="1" customWidth="1"/>
    <col min="22" max="22" width="19.42578125" customWidth="1"/>
    <col min="23" max="23" width="12.7109375" style="17" bestFit="1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3" ht="28.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</row>
    <row r="4" spans="1:23" ht="18" customHeight="1">
      <c r="A4" s="24" t="s">
        <v>31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23" ht="18" customHeight="1">
      <c r="A5" s="25"/>
      <c r="B5" s="5" t="s">
        <v>14</v>
      </c>
      <c r="C5" s="3">
        <v>42559091.799999997</v>
      </c>
      <c r="D5" s="3">
        <v>41216146.799999997</v>
      </c>
      <c r="E5" s="3">
        <v>42689612</v>
      </c>
      <c r="F5" s="3">
        <v>37220879.799999997</v>
      </c>
      <c r="G5" s="18">
        <v>0.97839639277151302</v>
      </c>
      <c r="H5" s="3">
        <v>29265550.800000001</v>
      </c>
      <c r="I5" s="3">
        <v>0.9070739034402977</v>
      </c>
      <c r="J5" s="3">
        <v>27857946.800000001</v>
      </c>
      <c r="K5" s="3">
        <v>1.0358118950237676</v>
      </c>
      <c r="L5" s="3">
        <v>23009001</v>
      </c>
      <c r="M5" s="3">
        <v>1.00064123155999</v>
      </c>
      <c r="N5" s="3">
        <v>34726167</v>
      </c>
      <c r="O5" s="3">
        <v>0.94556289368899582</v>
      </c>
      <c r="P5" s="3">
        <v>37049559</v>
      </c>
      <c r="Q5" s="3">
        <v>1.1292446052532297</v>
      </c>
      <c r="R5" s="3">
        <v>39751236.799999997</v>
      </c>
      <c r="S5" s="3">
        <v>1.048610079467744</v>
      </c>
      <c r="T5" s="3">
        <v>40715817</v>
      </c>
      <c r="U5" s="3">
        <v>1.0409973015858311</v>
      </c>
      <c r="V5" s="3">
        <v>45498202.799999997</v>
      </c>
      <c r="W5" s="17">
        <f>'2021'!C5/'2020'!V5</f>
        <v>0.95072031724294837</v>
      </c>
    </row>
    <row r="6" spans="1:23" ht="18" customHeight="1">
      <c r="A6" s="25"/>
      <c r="B6" s="5" t="s">
        <v>15</v>
      </c>
      <c r="C6" s="3">
        <f>122527+46000</f>
        <v>168527</v>
      </c>
      <c r="D6" s="3">
        <f>132836+48187</f>
        <v>181023</v>
      </c>
      <c r="E6" s="3">
        <f>121689+38654</f>
        <v>160343</v>
      </c>
      <c r="F6" s="3">
        <f>105731+47080</f>
        <v>152811</v>
      </c>
      <c r="G6" s="18">
        <v>0.77593375175131851</v>
      </c>
      <c r="H6" s="3">
        <f>91380+3182</f>
        <v>94562</v>
      </c>
      <c r="I6" s="3">
        <v>1.2385129183793306</v>
      </c>
      <c r="J6" s="3">
        <f>96839+2542</f>
        <v>99381</v>
      </c>
      <c r="K6" s="3">
        <v>0.91346786381011646</v>
      </c>
      <c r="L6" s="3">
        <f>101850+2465</f>
        <v>104315</v>
      </c>
      <c r="M6" s="3">
        <v>1.0138840229929802</v>
      </c>
      <c r="N6" s="3">
        <f>118850+2850</f>
        <v>121700</v>
      </c>
      <c r="O6" s="3">
        <v>1.1038880427966264</v>
      </c>
      <c r="P6" s="3">
        <f>103437+2843</f>
        <v>106280</v>
      </c>
      <c r="Q6" s="3">
        <v>1.1411520558347681</v>
      </c>
      <c r="R6" s="3">
        <f>111347+3435</f>
        <v>114782</v>
      </c>
      <c r="S6" s="3">
        <v>1.032510578637502</v>
      </c>
      <c r="T6" s="3">
        <f>125688+4478</f>
        <v>130166</v>
      </c>
      <c r="U6" s="3">
        <v>1.106514348688127</v>
      </c>
      <c r="V6" s="3">
        <f>127781+4904</f>
        <v>132685</v>
      </c>
      <c r="W6" s="17">
        <f>'2021'!C6/'2020'!V6</f>
        <v>0.90636469834570599</v>
      </c>
    </row>
    <row r="7" spans="1:23" ht="18" customHeight="1">
      <c r="A7" s="25"/>
      <c r="B7" s="5" t="s">
        <v>16</v>
      </c>
      <c r="C7" s="3">
        <f>1467523+24944+18726</f>
        <v>1511193</v>
      </c>
      <c r="D7" s="3">
        <f>1549399+23384+16930</f>
        <v>1589713</v>
      </c>
      <c r="E7" s="3">
        <f>1484385+16338+12364</f>
        <v>1513087</v>
      </c>
      <c r="F7" s="3">
        <f>1312378+17352+12856</f>
        <v>1342586</v>
      </c>
      <c r="G7" s="18">
        <v>0.71399634341378826</v>
      </c>
      <c r="H7" s="3">
        <f>1098363+10704+8852</f>
        <v>1117919</v>
      </c>
      <c r="I7" s="3">
        <v>1.1032902154816822</v>
      </c>
      <c r="J7" s="3">
        <f>1040378+9215+8224</f>
        <v>1057817</v>
      </c>
      <c r="K7" s="3">
        <v>0.9886412977404172</v>
      </c>
      <c r="L7" s="3">
        <f>938051+10837+7048</f>
        <v>955936</v>
      </c>
      <c r="M7" s="3">
        <v>1.0250310437830605</v>
      </c>
      <c r="N7" s="3">
        <f>1053711+8423+7986</f>
        <v>1070120</v>
      </c>
      <c r="O7" s="3">
        <v>1.0720768097679163</v>
      </c>
      <c r="P7" s="3">
        <f>1127931+12701+7572</f>
        <v>1148204</v>
      </c>
      <c r="Q7" s="3">
        <v>1.2115313744726608</v>
      </c>
      <c r="R7" s="3">
        <f>1405948+16957+9788</f>
        <v>1432693</v>
      </c>
      <c r="S7" s="3">
        <v>1.1429494097596953</v>
      </c>
      <c r="T7" s="3">
        <f>1634071+26856+12506</f>
        <v>1673433</v>
      </c>
      <c r="U7" s="3">
        <v>1.0310051660086113</v>
      </c>
      <c r="V7" s="3">
        <f>1778304+36000+18548</f>
        <v>1832852</v>
      </c>
      <c r="W7" s="17">
        <f>'2021'!C7/'2020'!V7</f>
        <v>0.91634458210482894</v>
      </c>
    </row>
    <row r="8" spans="1:23" ht="18" customHeight="1">
      <c r="A8" s="25"/>
      <c r="B8" s="5" t="s">
        <v>17</v>
      </c>
      <c r="C8" s="3">
        <f>226480+320</f>
        <v>226800</v>
      </c>
      <c r="D8" s="3">
        <f>224241+265</f>
        <v>224506</v>
      </c>
      <c r="E8" s="3">
        <f>204050+216</f>
        <v>204266</v>
      </c>
      <c r="F8" s="3">
        <f>172436+197</f>
        <v>172633</v>
      </c>
      <c r="G8" s="18">
        <v>0.64682568163512688</v>
      </c>
      <c r="H8" s="3">
        <f>149101+197</f>
        <v>149298</v>
      </c>
      <c r="I8" s="3">
        <v>1.0527370237948466</v>
      </c>
      <c r="J8" s="3">
        <f>141747+4876</f>
        <v>146623</v>
      </c>
      <c r="K8" s="3">
        <v>0.96023422632118283</v>
      </c>
      <c r="L8" s="3">
        <f>112304+8</f>
        <v>112312</v>
      </c>
      <c r="M8" s="3">
        <v>1.0275331739681921</v>
      </c>
      <c r="N8" s="3">
        <f>147179+33</f>
        <v>147212</v>
      </c>
      <c r="O8" s="3">
        <v>1.1036029887417729</v>
      </c>
      <c r="P8" s="3">
        <f>161304+445</f>
        <v>161749</v>
      </c>
      <c r="Q8" s="3">
        <v>1.0979263911893136</v>
      </c>
      <c r="R8" s="3">
        <f>184431+824</f>
        <v>185255</v>
      </c>
      <c r="S8" s="3">
        <v>1.0423723832567617</v>
      </c>
      <c r="T8" s="3">
        <f>227877+734</f>
        <v>228611</v>
      </c>
      <c r="U8" s="3">
        <v>1.0704924888519245</v>
      </c>
      <c r="V8" s="3">
        <f>265436+1350</f>
        <v>266786</v>
      </c>
      <c r="W8" s="17">
        <f>'2021'!C8/'2020'!V8</f>
        <v>0.94556311050804764</v>
      </c>
    </row>
    <row r="9" spans="1:23" ht="18" customHeight="1">
      <c r="A9" s="25"/>
      <c r="B9" s="27" t="s">
        <v>24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</row>
    <row r="10" spans="1:23" ht="18" customHeight="1">
      <c r="A10" s="25"/>
      <c r="B10" s="4" t="s">
        <v>24</v>
      </c>
      <c r="C10" s="3">
        <v>718876.2</v>
      </c>
      <c r="D10" s="3">
        <v>682792.2</v>
      </c>
      <c r="E10" s="3">
        <v>639256</v>
      </c>
      <c r="F10" s="3">
        <v>860539</v>
      </c>
      <c r="G10" s="18">
        <v>1.2240156893435445</v>
      </c>
      <c r="H10" s="3">
        <v>1087583</v>
      </c>
      <c r="I10" s="3">
        <v>0.99470867252505801</v>
      </c>
      <c r="J10" s="3">
        <v>910800.2</v>
      </c>
      <c r="K10" s="3">
        <v>1.0513990562428261</v>
      </c>
      <c r="L10" s="3">
        <v>470942</v>
      </c>
      <c r="M10" s="3">
        <v>1.0862431192549267</v>
      </c>
      <c r="N10" s="3">
        <v>836227</v>
      </c>
      <c r="O10" s="3">
        <v>0.88377679086902194</v>
      </c>
      <c r="P10" s="3">
        <v>833739.2</v>
      </c>
      <c r="Q10" s="3">
        <v>0.98612499257666253</v>
      </c>
      <c r="R10" s="3">
        <v>796936</v>
      </c>
      <c r="S10" s="3">
        <v>0.83725632398051364</v>
      </c>
      <c r="T10" s="3">
        <v>752299</v>
      </c>
      <c r="U10" s="3">
        <v>1.0518999739834411</v>
      </c>
      <c r="V10" s="3">
        <v>751438</v>
      </c>
      <c r="W10" s="17">
        <f>'2021'!C10/'2020'!V10</f>
        <v>1.17609569917944</v>
      </c>
    </row>
    <row r="11" spans="1:23" ht="18" customHeight="1">
      <c r="A11" s="30" t="s">
        <v>18</v>
      </c>
      <c r="B11" s="31"/>
      <c r="C11" s="10">
        <f t="shared" ref="C11:V11" si="0">SUM(C5:C8,C10)</f>
        <v>45184488</v>
      </c>
      <c r="D11" s="10">
        <f t="shared" si="0"/>
        <v>43894181</v>
      </c>
      <c r="E11" s="10">
        <f t="shared" si="0"/>
        <v>45206564</v>
      </c>
      <c r="F11" s="10">
        <f t="shared" si="0"/>
        <v>39749448.799999997</v>
      </c>
      <c r="G11" s="10"/>
      <c r="H11" s="10">
        <f>SUM(H5:H8,H10)</f>
        <v>31714912.800000001</v>
      </c>
      <c r="I11" s="10"/>
      <c r="J11" s="10">
        <f t="shared" si="0"/>
        <v>30072568</v>
      </c>
      <c r="K11" s="10"/>
      <c r="L11" s="10">
        <f t="shared" si="0"/>
        <v>24652506</v>
      </c>
      <c r="M11" s="10"/>
      <c r="N11" s="10">
        <f t="shared" si="0"/>
        <v>36901426</v>
      </c>
      <c r="O11" s="10"/>
      <c r="P11" s="10">
        <f t="shared" si="0"/>
        <v>39299531.200000003</v>
      </c>
      <c r="Q11" s="10"/>
      <c r="R11" s="10">
        <f t="shared" si="0"/>
        <v>42280902.799999997</v>
      </c>
      <c r="S11" s="10"/>
      <c r="T11" s="10">
        <f t="shared" si="0"/>
        <v>43500326</v>
      </c>
      <c r="U11" s="10"/>
      <c r="V11" s="10">
        <f t="shared" si="0"/>
        <v>48481963.799999997</v>
      </c>
    </row>
    <row r="15" spans="1:23">
      <c r="L15" s="15"/>
      <c r="M15" s="15"/>
      <c r="P15" s="12"/>
      <c r="Q15" s="12"/>
    </row>
    <row r="16" spans="1:23">
      <c r="J16" s="12"/>
      <c r="K16" s="12"/>
      <c r="L16" s="15"/>
      <c r="M16" s="15"/>
      <c r="P16" s="12"/>
      <c r="Q16" s="12"/>
      <c r="R16" s="12"/>
      <c r="S16" s="12"/>
      <c r="V16" s="12"/>
    </row>
    <row r="17" spans="8:22">
      <c r="J17" s="12"/>
      <c r="K17" s="12"/>
      <c r="L17" s="15"/>
      <c r="M17" s="15"/>
      <c r="P17" s="12"/>
      <c r="Q17" s="12"/>
      <c r="R17" s="12"/>
      <c r="S17" s="12"/>
      <c r="V17" s="12"/>
    </row>
    <row r="18" spans="8:22">
      <c r="J18" s="12"/>
      <c r="K18" s="12"/>
      <c r="L18" s="15"/>
      <c r="M18" s="15"/>
      <c r="P18" s="12"/>
      <c r="Q18" s="12"/>
      <c r="T18" s="11"/>
      <c r="U18" s="11"/>
      <c r="V18" s="12"/>
    </row>
    <row r="19" spans="8:22">
      <c r="J19" s="12"/>
      <c r="K19" s="12"/>
      <c r="L19" s="15"/>
      <c r="M19" s="15"/>
      <c r="P19" s="12"/>
      <c r="Q19" s="12"/>
      <c r="R19" s="11"/>
      <c r="S19" s="11"/>
      <c r="V19" s="12"/>
    </row>
    <row r="20" spans="8:22">
      <c r="J20" s="12"/>
      <c r="K20" s="12"/>
      <c r="L20" s="12"/>
      <c r="M20" s="12"/>
      <c r="P20" s="12"/>
      <c r="Q20" s="12"/>
    </row>
    <row r="21" spans="8:22">
      <c r="J21" s="12"/>
      <c r="K21" s="12"/>
      <c r="L21" s="12"/>
      <c r="M21" s="12"/>
      <c r="N21" s="12"/>
      <c r="O21" s="12"/>
      <c r="P21" s="12"/>
      <c r="Q21" s="12"/>
      <c r="V21" s="12"/>
    </row>
    <row r="22" spans="8:22">
      <c r="J22" s="14"/>
      <c r="K22" s="14"/>
      <c r="L22" s="12"/>
      <c r="M22" s="12"/>
      <c r="N22" s="12"/>
      <c r="O22" s="12"/>
      <c r="P22" s="12"/>
      <c r="Q22" s="12"/>
      <c r="V22" s="12"/>
    </row>
    <row r="23" spans="8:22">
      <c r="H23" s="11"/>
      <c r="I23" s="11"/>
      <c r="J23" s="14"/>
      <c r="K23" s="14"/>
      <c r="L23" s="12"/>
      <c r="M23" s="12"/>
      <c r="N23" s="12"/>
      <c r="O23" s="12"/>
      <c r="P23" s="11"/>
      <c r="Q23" s="11"/>
      <c r="R23" s="11"/>
      <c r="S23" s="11"/>
      <c r="T23" s="11"/>
      <c r="U23" s="11"/>
      <c r="V23" s="12"/>
    </row>
    <row r="24" spans="8:22">
      <c r="H24" s="11"/>
      <c r="I24" s="11"/>
      <c r="J24" s="12"/>
      <c r="K24" s="12"/>
      <c r="P24" s="11"/>
      <c r="Q24" s="11"/>
      <c r="R24" s="11"/>
      <c r="S24" s="11"/>
      <c r="T24" s="11"/>
      <c r="U24" s="11"/>
      <c r="V24" s="12"/>
    </row>
    <row r="25" spans="8:22">
      <c r="H25" s="11"/>
      <c r="I25" s="11"/>
      <c r="J25" s="12"/>
      <c r="K25" s="12"/>
    </row>
    <row r="26" spans="8:22">
      <c r="H26" s="11"/>
      <c r="I26" s="11"/>
      <c r="J26" s="12"/>
      <c r="K26" s="12"/>
    </row>
    <row r="27" spans="8:22">
      <c r="H27" s="11"/>
      <c r="I27" s="11"/>
    </row>
    <row r="28" spans="8:22">
      <c r="H28" s="11"/>
      <c r="I28" s="11"/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zoomScale="85" zoomScaleNormal="85" workbookViewId="0">
      <selection activeCell="AH10" sqref="AH10"/>
    </sheetView>
  </sheetViews>
  <sheetFormatPr defaultRowHeight="15"/>
  <cols>
    <col min="1" max="1" width="19.140625" customWidth="1"/>
    <col min="2" max="2" width="13.42578125" customWidth="1"/>
    <col min="3" max="3" width="14.85546875" customWidth="1"/>
    <col min="4" max="4" width="19.42578125" hidden="1" customWidth="1"/>
    <col min="5" max="5" width="14.7109375" customWidth="1"/>
    <col min="6" max="6" width="19.42578125" hidden="1" customWidth="1"/>
    <col min="7" max="7" width="16" customWidth="1"/>
    <col min="8" max="8" width="19.42578125" hidden="1" customWidth="1"/>
    <col min="9" max="9" width="16.28515625" customWidth="1"/>
    <col min="10" max="11" width="19.42578125" hidden="1" customWidth="1"/>
    <col min="12" max="12" width="16.42578125" customWidth="1"/>
    <col min="13" max="14" width="19.42578125" hidden="1" customWidth="1"/>
    <col min="15" max="15" width="16.28515625" customWidth="1"/>
    <col min="16" max="17" width="19.42578125" hidden="1" customWidth="1"/>
    <col min="18" max="18" width="16.5703125" customWidth="1"/>
    <col min="19" max="20" width="19.42578125" hidden="1" customWidth="1"/>
    <col min="21" max="21" width="16.42578125" customWidth="1"/>
    <col min="22" max="23" width="19.42578125" hidden="1" customWidth="1"/>
    <col min="24" max="24" width="15.7109375" customWidth="1"/>
    <col min="25" max="26" width="19.42578125" hidden="1" customWidth="1"/>
    <col min="27" max="27" width="15.5703125" customWidth="1"/>
    <col min="28" max="29" width="19.42578125" hidden="1" customWidth="1"/>
    <col min="30" max="30" width="19.42578125" customWidth="1"/>
    <col min="31" max="32" width="19.42578125" hidden="1" customWidth="1"/>
    <col min="33" max="33" width="19.42578125" customWidth="1"/>
    <col min="34" max="34" width="9.140625" style="17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4" ht="28.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</row>
    <row r="4" spans="1:34" ht="18" customHeight="1">
      <c r="A4" s="24" t="s">
        <v>33</v>
      </c>
      <c r="B4" s="27" t="s">
        <v>23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9"/>
    </row>
    <row r="5" spans="1:34" ht="18" customHeight="1">
      <c r="A5" s="25"/>
      <c r="B5" s="5"/>
      <c r="C5" s="3">
        <v>43256065.799999997</v>
      </c>
      <c r="D5" s="3">
        <v>0.96844516780783374</v>
      </c>
      <c r="E5" s="3">
        <v>41193337</v>
      </c>
      <c r="F5" s="3">
        <v>1.0357497076849504</v>
      </c>
      <c r="G5" s="3">
        <v>43764324</v>
      </c>
      <c r="H5" s="3">
        <v>0.87189548127071281</v>
      </c>
      <c r="I5" s="3">
        <v>38152611</v>
      </c>
      <c r="J5" s="18"/>
      <c r="K5" s="18">
        <v>0.78626703498824879</v>
      </c>
      <c r="L5" s="3">
        <v>38302126</v>
      </c>
      <c r="M5" s="3"/>
      <c r="N5" s="3">
        <v>0.95190235749808616</v>
      </c>
      <c r="O5" s="3">
        <v>36619795</v>
      </c>
      <c r="P5" s="3"/>
      <c r="Q5" s="3">
        <v>0.82594030224797466</v>
      </c>
      <c r="R5" s="3">
        <v>38063327</v>
      </c>
      <c r="S5" s="3"/>
      <c r="T5" s="3">
        <v>1.5092427089728928</v>
      </c>
      <c r="U5" s="3">
        <v>38422926</v>
      </c>
      <c r="V5" s="3"/>
      <c r="W5" s="3">
        <v>1.0669060884260564</v>
      </c>
      <c r="X5" s="3">
        <v>40169511</v>
      </c>
      <c r="Y5" s="3"/>
      <c r="Z5" s="3">
        <v>1.0729206466398156</v>
      </c>
      <c r="AA5" s="20">
        <v>42808701</v>
      </c>
      <c r="AB5" s="3"/>
      <c r="AC5" s="3">
        <v>1.0242654135480886</v>
      </c>
      <c r="AD5" s="3">
        <v>45436934</v>
      </c>
      <c r="AE5" s="3"/>
      <c r="AF5" s="3">
        <v>1.1174576897228907</v>
      </c>
      <c r="AG5" s="20">
        <v>49402900</v>
      </c>
      <c r="AH5" s="17">
        <f>'2022'!D5/'2021'!AG5</f>
        <v>0.9773988571521105</v>
      </c>
    </row>
    <row r="6" spans="1:34" ht="18" customHeight="1">
      <c r="A6" s="25"/>
      <c r="B6" s="5"/>
      <c r="C6" s="3">
        <f>115914+4347</f>
        <v>120261</v>
      </c>
      <c r="D6" s="3">
        <v>1.0741483560497724</v>
      </c>
      <c r="E6" s="3">
        <f>123580+12412</f>
        <v>135992</v>
      </c>
      <c r="F6" s="3">
        <v>0.8857603729912773</v>
      </c>
      <c r="G6" s="3">
        <f>106645+5054</f>
        <v>111699</v>
      </c>
      <c r="H6" s="3">
        <v>0.95302570115315288</v>
      </c>
      <c r="I6" s="3">
        <f>122606+3704</f>
        <v>126310</v>
      </c>
      <c r="J6" s="18"/>
      <c r="K6" s="18">
        <v>0.61881670822126678</v>
      </c>
      <c r="L6" s="3">
        <f>96058+6311</f>
        <v>102369</v>
      </c>
      <c r="M6" s="3"/>
      <c r="N6" s="3">
        <v>1.0509612740847274</v>
      </c>
      <c r="O6" s="3">
        <f>102240+2581</f>
        <v>104821</v>
      </c>
      <c r="P6" s="3"/>
      <c r="Q6" s="3">
        <v>1.0496473168915588</v>
      </c>
      <c r="R6" s="3">
        <f>98133+6226</f>
        <v>104359</v>
      </c>
      <c r="S6" s="3"/>
      <c r="T6" s="3">
        <v>1.1666586780424675</v>
      </c>
      <c r="U6" s="3">
        <f>108756+3133</f>
        <v>111889</v>
      </c>
      <c r="V6" s="3"/>
      <c r="W6" s="3">
        <v>0.87329498767460967</v>
      </c>
      <c r="X6" s="20">
        <f>109289+9272</f>
        <v>118561</v>
      </c>
      <c r="Y6" s="3"/>
      <c r="Z6" s="3">
        <v>1.0799962363567934</v>
      </c>
      <c r="AA6" s="20">
        <f>112597+4883</f>
        <v>117480</v>
      </c>
      <c r="AB6" s="3"/>
      <c r="AC6" s="3">
        <v>1.1340279834817306</v>
      </c>
      <c r="AD6" s="3">
        <f>125781+4999</f>
        <v>130780</v>
      </c>
      <c r="AE6" s="3"/>
      <c r="AF6" s="3">
        <v>1.0193522117910976</v>
      </c>
      <c r="AG6" s="20">
        <f>119093+7561</f>
        <v>126654</v>
      </c>
      <c r="AH6" s="17">
        <f>'2022'!D6/'2021'!AG6</f>
        <v>0.85004026718461323</v>
      </c>
    </row>
    <row r="7" spans="1:34" ht="18" customHeight="1">
      <c r="A7" s="25"/>
      <c r="B7" s="5"/>
      <c r="C7" s="3">
        <f>1621673+36932+20919</f>
        <v>1679524</v>
      </c>
      <c r="D7" s="3">
        <v>1.0519589489893084</v>
      </c>
      <c r="E7" s="3">
        <f>1704814+33050+21161</f>
        <v>1759025</v>
      </c>
      <c r="F7" s="3">
        <v>0.95179884671006654</v>
      </c>
      <c r="G7" s="3">
        <f>1569331+28131+18460</f>
        <v>1615922</v>
      </c>
      <c r="H7" s="3">
        <v>0.88731579876107591</v>
      </c>
      <c r="I7" s="3">
        <f>1383625+16557+12236</f>
        <v>1412418</v>
      </c>
      <c r="J7" s="18"/>
      <c r="K7" s="18">
        <v>0.83266099899745716</v>
      </c>
      <c r="L7" s="3">
        <f>1092804+11447+8553</f>
        <v>1112804</v>
      </c>
      <c r="M7" s="3"/>
      <c r="N7" s="3">
        <v>0.94623760755475128</v>
      </c>
      <c r="O7" s="3">
        <f>1095419+9877+7975</f>
        <v>1113271</v>
      </c>
      <c r="P7" s="3"/>
      <c r="Q7" s="3">
        <v>0.90368749982274821</v>
      </c>
      <c r="R7" s="3">
        <f>1039015+10276+6721</f>
        <v>1056012</v>
      </c>
      <c r="S7" s="3"/>
      <c r="T7" s="3">
        <v>1.1194473270177083</v>
      </c>
      <c r="U7" s="3">
        <f>1076891+11768+8113</f>
        <v>1096772</v>
      </c>
      <c r="V7" s="3"/>
      <c r="W7" s="3">
        <v>1.0729675176615707</v>
      </c>
      <c r="X7" s="20">
        <f>1250497+15728+13068</f>
        <v>1279293</v>
      </c>
      <c r="Y7" s="3"/>
      <c r="Z7" s="3">
        <v>1.2477686891876356</v>
      </c>
      <c r="AA7" s="20">
        <f>1405165+19507+13812</f>
        <v>1438484</v>
      </c>
      <c r="AB7" s="3"/>
      <c r="AC7" s="3">
        <v>1.1680332073933495</v>
      </c>
      <c r="AD7" s="3">
        <f>1508321+24263+18090</f>
        <v>1550674</v>
      </c>
      <c r="AE7" s="3"/>
      <c r="AF7" s="3">
        <v>1.0952646445958696</v>
      </c>
      <c r="AG7" s="20">
        <f>1716749+35943+22654</f>
        <v>1775346</v>
      </c>
      <c r="AH7" s="17">
        <f>'2022'!D7/'2021'!AG7</f>
        <v>0.94204059377721305</v>
      </c>
    </row>
    <row r="8" spans="1:34" ht="18" customHeight="1">
      <c r="A8" s="25"/>
      <c r="B8" s="5"/>
      <c r="C8" s="3">
        <f>251039+1224</f>
        <v>252263</v>
      </c>
      <c r="D8" s="3">
        <v>0.98988536155202822</v>
      </c>
      <c r="E8" s="3">
        <f>247445+1367</f>
        <v>248812</v>
      </c>
      <c r="F8" s="3">
        <v>0.90984650744300821</v>
      </c>
      <c r="G8" s="3">
        <f>225046+1367</f>
        <v>226413</v>
      </c>
      <c r="H8" s="3">
        <v>0.84513820214817936</v>
      </c>
      <c r="I8" s="3">
        <f>303588+1085</f>
        <v>304673</v>
      </c>
      <c r="J8" s="18"/>
      <c r="K8" s="18">
        <v>0.86482885659172926</v>
      </c>
      <c r="L8" s="3">
        <f>172239+539</f>
        <v>172778</v>
      </c>
      <c r="M8" s="3"/>
      <c r="N8" s="3">
        <v>0.98208281423729726</v>
      </c>
      <c r="O8" s="3">
        <f>156146+114</f>
        <v>156260</v>
      </c>
      <c r="P8" s="3"/>
      <c r="Q8" s="3">
        <v>0.76599169298131942</v>
      </c>
      <c r="R8" s="3">
        <f>161863+20</f>
        <v>161883</v>
      </c>
      <c r="S8" s="3"/>
      <c r="T8" s="3">
        <v>1.3107415058052567</v>
      </c>
      <c r="U8" s="3">
        <f>157369+147</f>
        <v>157516</v>
      </c>
      <c r="V8" s="3"/>
      <c r="W8" s="3">
        <v>1.0987487433089693</v>
      </c>
      <c r="X8" s="20">
        <f>195132+624</f>
        <v>195756</v>
      </c>
      <c r="Y8" s="3"/>
      <c r="Z8" s="3">
        <v>1.1453239278140823</v>
      </c>
      <c r="AA8" s="20">
        <f>213936+1179</f>
        <v>215115</v>
      </c>
      <c r="AB8" s="3"/>
      <c r="AC8" s="3">
        <v>1.2340341691182424</v>
      </c>
      <c r="AD8" s="3">
        <f>246293+1208</f>
        <v>247501</v>
      </c>
      <c r="AE8" s="3"/>
      <c r="AF8" s="3">
        <v>1.1669867154248921</v>
      </c>
      <c r="AG8" s="20">
        <f>277988+1575</f>
        <v>279563</v>
      </c>
      <c r="AH8" s="17">
        <f>'2022'!D8/'2021'!AG8</f>
        <v>0.97912098525198255</v>
      </c>
    </row>
    <row r="9" spans="1:34" ht="18" customHeight="1">
      <c r="A9" s="25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4" ht="18" customHeight="1">
      <c r="A10" s="25"/>
      <c r="B10" s="4"/>
      <c r="C10" s="3">
        <v>883763</v>
      </c>
      <c r="D10" s="3">
        <v>0.94980498728431961</v>
      </c>
      <c r="E10" s="3">
        <v>803234</v>
      </c>
      <c r="F10" s="3">
        <v>0.93623799451721923</v>
      </c>
      <c r="G10" s="3">
        <v>676478</v>
      </c>
      <c r="H10" s="3">
        <v>1.3461570951230806</v>
      </c>
      <c r="I10" s="3">
        <v>670338</v>
      </c>
      <c r="J10" s="18"/>
      <c r="K10" s="18">
        <v>1.2638392914208421</v>
      </c>
      <c r="L10" s="3">
        <v>909802</v>
      </c>
      <c r="M10" s="3"/>
      <c r="N10" s="3">
        <v>0.83745350929538243</v>
      </c>
      <c r="O10" s="3">
        <v>792745</v>
      </c>
      <c r="P10" s="3"/>
      <c r="Q10" s="3">
        <v>0.51706400591479895</v>
      </c>
      <c r="R10" s="3">
        <v>823419</v>
      </c>
      <c r="S10" s="3"/>
      <c r="T10" s="3">
        <v>1.7756475319678431</v>
      </c>
      <c r="U10" s="3">
        <v>820498</v>
      </c>
      <c r="V10" s="3"/>
      <c r="W10" s="3">
        <v>0.99702497049246197</v>
      </c>
      <c r="X10" s="20">
        <v>946199</v>
      </c>
      <c r="Y10" s="3"/>
      <c r="Z10" s="3">
        <v>0.95585765908571896</v>
      </c>
      <c r="AA10" s="3">
        <v>811828.07679999992</v>
      </c>
      <c r="AB10" s="3"/>
      <c r="AC10" s="3">
        <v>0.94398922874609759</v>
      </c>
      <c r="AD10" s="3">
        <v>740578.57510000002</v>
      </c>
      <c r="AE10" s="3"/>
      <c r="AF10" s="3">
        <v>0.99885550824871494</v>
      </c>
      <c r="AG10" s="3">
        <v>724783</v>
      </c>
      <c r="AH10" s="17">
        <f>'2022'!D10/'2021'!AG10</f>
        <v>1.1380468360874909</v>
      </c>
    </row>
    <row r="11" spans="1:34" ht="18" customHeight="1">
      <c r="A11" s="30" t="s">
        <v>18</v>
      </c>
      <c r="B11" s="31"/>
      <c r="C11" s="10">
        <f t="shared" ref="C11:AG11" si="0">SUM(C5:C8,C10)</f>
        <v>46191876.799999997</v>
      </c>
      <c r="D11" s="10"/>
      <c r="E11" s="10">
        <f t="shared" si="0"/>
        <v>44140400</v>
      </c>
      <c r="F11" s="10"/>
      <c r="G11" s="10">
        <f>SUM(G5:G8,G10)</f>
        <v>46394836</v>
      </c>
      <c r="H11" s="10"/>
      <c r="I11" s="10">
        <f t="shared" si="0"/>
        <v>40666350</v>
      </c>
      <c r="J11" s="10"/>
      <c r="K11" s="10"/>
      <c r="L11" s="10">
        <f>SUM(L5:L8,L10)</f>
        <v>40599879</v>
      </c>
      <c r="M11" s="10"/>
      <c r="N11" s="10"/>
      <c r="O11" s="10">
        <f t="shared" si="0"/>
        <v>38786892</v>
      </c>
      <c r="P11" s="10"/>
      <c r="Q11" s="10"/>
      <c r="R11" s="10">
        <f t="shared" si="0"/>
        <v>40209000</v>
      </c>
      <c r="S11" s="10"/>
      <c r="T11" s="10"/>
      <c r="U11" s="10">
        <f t="shared" si="0"/>
        <v>40609601</v>
      </c>
      <c r="V11" s="10"/>
      <c r="W11" s="10"/>
      <c r="X11" s="10">
        <f t="shared" si="0"/>
        <v>42709320</v>
      </c>
      <c r="Y11" s="10"/>
      <c r="Z11" s="10"/>
      <c r="AA11" s="10">
        <f t="shared" si="0"/>
        <v>45391608.076800004</v>
      </c>
      <c r="AB11" s="10"/>
      <c r="AC11" s="10"/>
      <c r="AD11" s="10">
        <f t="shared" si="0"/>
        <v>48106467.575099997</v>
      </c>
      <c r="AE11" s="10"/>
      <c r="AF11" s="10"/>
      <c r="AG11" s="10">
        <f t="shared" si="0"/>
        <v>52309246</v>
      </c>
    </row>
    <row r="13" spans="1:34">
      <c r="G13" s="19"/>
      <c r="I13" s="19"/>
    </row>
    <row r="15" spans="1:34">
      <c r="R15" s="15"/>
      <c r="S15" s="15"/>
      <c r="T15" s="15"/>
      <c r="X15" s="12"/>
      <c r="Y15" s="12"/>
      <c r="Z15" s="12"/>
    </row>
    <row r="16" spans="1:34">
      <c r="O16" s="12"/>
      <c r="P16" s="12"/>
      <c r="Q16" s="12"/>
      <c r="R16" s="15"/>
      <c r="S16" s="15"/>
      <c r="T16" s="15"/>
      <c r="X16" s="12"/>
      <c r="Y16" s="12"/>
      <c r="Z16" s="12"/>
      <c r="AA16" s="12"/>
      <c r="AB16" s="12"/>
      <c r="AC16" s="12"/>
      <c r="AG16" s="12"/>
    </row>
    <row r="17" spans="12:33">
      <c r="O17" s="12"/>
      <c r="P17" s="12"/>
      <c r="Q17" s="12"/>
      <c r="R17" s="15"/>
      <c r="S17" s="15"/>
      <c r="T17" s="15"/>
      <c r="X17" s="12"/>
      <c r="Y17" s="12"/>
      <c r="Z17" s="12"/>
      <c r="AA17" s="12"/>
      <c r="AB17" s="12"/>
      <c r="AC17" s="12"/>
      <c r="AG17" s="12"/>
    </row>
    <row r="18" spans="12:33">
      <c r="O18" s="12"/>
      <c r="P18" s="12"/>
      <c r="Q18" s="12"/>
      <c r="R18" s="15"/>
      <c r="S18" s="15"/>
      <c r="T18" s="15"/>
      <c r="X18" s="12"/>
      <c r="Y18" s="12"/>
      <c r="Z18" s="12"/>
      <c r="AD18" s="11"/>
      <c r="AE18" s="11"/>
      <c r="AF18" s="11"/>
      <c r="AG18" s="12"/>
    </row>
    <row r="19" spans="12:33">
      <c r="O19" s="12"/>
      <c r="P19" s="12"/>
      <c r="Q19" s="12"/>
      <c r="R19" s="15"/>
      <c r="S19" s="15"/>
      <c r="T19" s="15"/>
      <c r="X19" s="12"/>
      <c r="Y19" s="12"/>
      <c r="Z19" s="12"/>
      <c r="AA19" s="11"/>
      <c r="AB19" s="11"/>
      <c r="AC19" s="11"/>
      <c r="AG19" s="12"/>
    </row>
    <row r="20" spans="12:33">
      <c r="O20" s="12"/>
      <c r="P20" s="12"/>
      <c r="Q20" s="12"/>
      <c r="R20" s="12"/>
      <c r="S20" s="12"/>
      <c r="T20" s="12"/>
      <c r="X20" s="12"/>
      <c r="Y20" s="12"/>
      <c r="Z20" s="12"/>
    </row>
    <row r="21" spans="12:33"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G21" s="12"/>
    </row>
    <row r="22" spans="12:33">
      <c r="O22" s="14"/>
      <c r="P22" s="14"/>
      <c r="Q22" s="14"/>
      <c r="R22" s="12"/>
      <c r="S22" s="12"/>
      <c r="T22" s="12"/>
      <c r="U22" s="12"/>
      <c r="V22" s="12"/>
      <c r="W22" s="12"/>
      <c r="X22" s="12"/>
      <c r="Y22" s="12"/>
      <c r="Z22" s="12"/>
      <c r="AG22" s="12"/>
    </row>
    <row r="23" spans="12:33">
      <c r="L23" s="11"/>
      <c r="M23" s="11"/>
      <c r="N23" s="11"/>
      <c r="O23" s="14"/>
      <c r="P23" s="14"/>
      <c r="Q23" s="14"/>
      <c r="R23" s="12"/>
      <c r="S23" s="12"/>
      <c r="T23" s="12"/>
      <c r="U23" s="12"/>
      <c r="V23" s="12"/>
      <c r="W23" s="12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12:33">
      <c r="L24" s="11"/>
      <c r="M24" s="11"/>
      <c r="N24" s="11"/>
      <c r="O24" s="12"/>
      <c r="P24" s="12"/>
      <c r="Q24" s="12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5" spans="12:33">
      <c r="L25" s="11"/>
      <c r="M25" s="11"/>
      <c r="N25" s="11"/>
      <c r="O25" s="12"/>
      <c r="P25" s="12"/>
      <c r="Q25" s="12"/>
    </row>
    <row r="26" spans="12:33">
      <c r="L26" s="11"/>
      <c r="M26" s="11"/>
      <c r="N26" s="11"/>
      <c r="O26" s="12"/>
      <c r="P26" s="12"/>
      <c r="Q26" s="12"/>
    </row>
    <row r="27" spans="12:33">
      <c r="L27" s="11"/>
      <c r="M27" s="11"/>
      <c r="N27" s="11"/>
    </row>
    <row r="28" spans="12:33">
      <c r="L28" s="11"/>
      <c r="M28" s="11"/>
      <c r="N28" s="11"/>
    </row>
  </sheetData>
  <mergeCells count="5">
    <mergeCell ref="A2:AG2"/>
    <mergeCell ref="A4:A10"/>
    <mergeCell ref="B4:AG4"/>
    <mergeCell ref="B9:AG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dcterms:created xsi:type="dcterms:W3CDTF">2013-11-13T16:10:49Z</dcterms:created>
  <dcterms:modified xsi:type="dcterms:W3CDTF">2025-01-22T13:07:16Z</dcterms:modified>
</cp:coreProperties>
</file>