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Отдел реализации\для сайта\_ТСО\по факту\"/>
    </mc:Choice>
  </mc:AlternateContent>
  <bookViews>
    <workbookView xWindow="-15" yWindow="165" windowWidth="10200" windowHeight="7575" firstSheet="8" activeTab="11"/>
  </bookViews>
  <sheets>
    <sheet name="2013" sheetId="15" state="hidden" r:id="rId1"/>
    <sheet name="2014" sheetId="16" state="hidden" r:id="rId2"/>
    <sheet name="2015" sheetId="17" state="hidden" r:id="rId3"/>
    <sheet name="2016" sheetId="18" state="hidden" r:id="rId4"/>
    <sheet name="2017" sheetId="19" state="hidden" r:id="rId5"/>
    <sheet name="2018" sheetId="20" state="hidden" r:id="rId6"/>
    <sheet name="2019" sheetId="21" state="hidden" r:id="rId7"/>
    <sheet name="2020" sheetId="22" state="hidden" r:id="rId8"/>
    <sheet name="2021" sheetId="23" r:id="rId9"/>
    <sheet name="2022" sheetId="24" r:id="rId10"/>
    <sheet name="2023" sheetId="25" r:id="rId11"/>
    <sheet name="2024" sheetId="26" r:id="rId12"/>
  </sheets>
  <externalReferences>
    <externalReference r:id="rId13"/>
  </externalReferences>
  <calcPr calcId="162913"/>
</workbook>
</file>

<file path=xl/calcChain.xml><?xml version="1.0" encoding="utf-8"?>
<calcChain xmlns="http://schemas.openxmlformats.org/spreadsheetml/2006/main">
  <c r="J11" i="26" l="1"/>
  <c r="G12" i="26" l="1"/>
  <c r="H12" i="26"/>
  <c r="I12" i="26"/>
  <c r="J12" i="26"/>
  <c r="K12" i="26"/>
  <c r="L12" i="26"/>
  <c r="M12" i="26"/>
  <c r="N12" i="26"/>
  <c r="D12" i="26" l="1"/>
  <c r="E12" i="26"/>
  <c r="F12" i="26"/>
  <c r="C12" i="26"/>
  <c r="N18" i="26" l="1"/>
  <c r="N19" i="26" s="1"/>
  <c r="M18" i="26"/>
  <c r="L18" i="26"/>
  <c r="K18" i="26"/>
  <c r="J18" i="26"/>
  <c r="I18" i="26"/>
  <c r="I19" i="26" s="1"/>
  <c r="H18" i="26"/>
  <c r="H19" i="26" s="1"/>
  <c r="G18" i="26"/>
  <c r="F18" i="26"/>
  <c r="E18" i="26"/>
  <c r="D18" i="26"/>
  <c r="C18" i="26"/>
  <c r="G19" i="26" l="1"/>
  <c r="C19" i="26"/>
  <c r="D19" i="26"/>
  <c r="E19" i="26"/>
  <c r="K19" i="26"/>
  <c r="L19" i="26"/>
  <c r="J19" i="26"/>
  <c r="M19" i="26"/>
  <c r="F19" i="26"/>
  <c r="N11" i="25"/>
  <c r="N9" i="25"/>
  <c r="N8" i="25"/>
  <c r="N6" i="25" l="1"/>
  <c r="N7" i="25"/>
  <c r="K12" i="25" l="1"/>
  <c r="J11" i="25" l="1"/>
  <c r="J9" i="25"/>
  <c r="J8" i="25"/>
  <c r="J12" i="25" l="1"/>
  <c r="G11" i="25" l="1"/>
  <c r="G9" i="25"/>
  <c r="G8" i="25"/>
  <c r="E8" i="25" l="1"/>
  <c r="D18" i="25" l="1"/>
  <c r="D11" i="25"/>
  <c r="D9" i="25"/>
  <c r="D8" i="25"/>
  <c r="D12" i="25" s="1"/>
  <c r="D19" i="25" s="1"/>
  <c r="C11" i="25" l="1"/>
  <c r="C9" i="25"/>
  <c r="C8" i="25"/>
  <c r="C12" i="25" l="1"/>
  <c r="C18" i="25"/>
  <c r="AH16" i="23"/>
  <c r="AH14" i="23"/>
  <c r="AH13" i="23"/>
  <c r="AH12" i="23"/>
  <c r="AH10" i="23"/>
  <c r="AH8" i="23"/>
  <c r="AH7" i="23"/>
  <c r="AH6" i="23"/>
  <c r="AH5" i="23"/>
  <c r="N18" i="25"/>
  <c r="M18" i="25"/>
  <c r="L18" i="25"/>
  <c r="K18" i="25"/>
  <c r="J18" i="25"/>
  <c r="I18" i="25"/>
  <c r="H18" i="25"/>
  <c r="G18" i="25"/>
  <c r="F18" i="25"/>
  <c r="E18" i="25"/>
  <c r="N12" i="25"/>
  <c r="M12" i="25"/>
  <c r="L12" i="25"/>
  <c r="I12" i="25"/>
  <c r="H12" i="25"/>
  <c r="G12" i="25"/>
  <c r="F12" i="25"/>
  <c r="E12" i="25"/>
  <c r="M19" i="25" l="1"/>
  <c r="L19" i="25"/>
  <c r="I19" i="25"/>
  <c r="H19" i="25"/>
  <c r="K19" i="25"/>
  <c r="N19" i="25"/>
  <c r="J19" i="25"/>
  <c r="E19" i="25"/>
  <c r="F19" i="25"/>
  <c r="G19" i="25"/>
  <c r="C19" i="25"/>
  <c r="AS10" i="24"/>
  <c r="AS8" i="24"/>
  <c r="AS7" i="24"/>
  <c r="AO10" i="24"/>
  <c r="AO8" i="24"/>
  <c r="AO7" i="24"/>
  <c r="AN12" i="24"/>
  <c r="AK10" i="24"/>
  <c r="AK8" i="24"/>
  <c r="AK7" i="24"/>
  <c r="AJ12" i="24"/>
  <c r="AG10" i="24"/>
  <c r="AG8" i="24"/>
  <c r="AG7" i="24"/>
  <c r="AC10" i="24"/>
  <c r="AC8" i="24"/>
  <c r="AC7" i="24"/>
  <c r="Y10" i="24"/>
  <c r="Y8" i="24"/>
  <c r="Y7" i="24"/>
  <c r="U10" i="24"/>
  <c r="U8" i="24"/>
  <c r="U7" i="24"/>
  <c r="Q10" i="24"/>
  <c r="Q8" i="24"/>
  <c r="Q7" i="24"/>
  <c r="M10" i="24"/>
  <c r="M8" i="24"/>
  <c r="M7" i="24"/>
  <c r="J10" i="24"/>
  <c r="J8" i="24"/>
  <c r="J7" i="24"/>
  <c r="G10" i="24"/>
  <c r="G8" i="24"/>
  <c r="G7" i="24"/>
  <c r="G11" i="24"/>
  <c r="D10" i="24"/>
  <c r="D8" i="24"/>
  <c r="D7" i="24"/>
  <c r="D11" i="24"/>
  <c r="W16" i="22"/>
  <c r="W14" i="22"/>
  <c r="W13" i="22"/>
  <c r="W12" i="22"/>
  <c r="W10" i="22"/>
  <c r="W8" i="22"/>
  <c r="W7" i="22"/>
  <c r="W6" i="22"/>
  <c r="W5" i="22"/>
  <c r="AS17" i="24"/>
  <c r="AO17" i="24"/>
  <c r="AK17" i="24"/>
  <c r="AC17" i="24"/>
  <c r="Y17" i="24"/>
  <c r="U17" i="24"/>
  <c r="Q17" i="24"/>
  <c r="J17" i="24"/>
  <c r="G17" i="24"/>
  <c r="G18" i="24"/>
  <c r="D17" i="24"/>
  <c r="AG17" i="24"/>
  <c r="M17" i="24"/>
  <c r="AO11" i="24"/>
  <c r="Y11" i="24"/>
  <c r="AK11" i="24"/>
  <c r="AS11" i="24"/>
  <c r="AS18" i="24"/>
  <c r="AC11" i="24"/>
  <c r="J11" i="24"/>
  <c r="U11" i="24"/>
  <c r="AG11" i="24"/>
  <c r="Q11" i="24"/>
  <c r="M11" i="24"/>
  <c r="AK18" i="24"/>
  <c r="AO18" i="24"/>
  <c r="Y18" i="24"/>
  <c r="U18" i="24"/>
  <c r="Q18" i="24"/>
  <c r="M18" i="24"/>
  <c r="D18" i="24"/>
  <c r="J18" i="24"/>
  <c r="AC18" i="24"/>
  <c r="AG18" i="24"/>
  <c r="AG10" i="23"/>
  <c r="AG8" i="23"/>
  <c r="AG7" i="23"/>
  <c r="AD8" i="23"/>
  <c r="AD7" i="23"/>
  <c r="AA10" i="23"/>
  <c r="AA8" i="23"/>
  <c r="AA7" i="23"/>
  <c r="X7" i="23"/>
  <c r="X8" i="23"/>
  <c r="X6" i="23"/>
  <c r="X5" i="23"/>
  <c r="X10" i="23"/>
  <c r="X16" i="23"/>
  <c r="X17" i="23" s="1"/>
  <c r="U10" i="23"/>
  <c r="U8" i="23"/>
  <c r="U7" i="23"/>
  <c r="O10" i="23"/>
  <c r="O8" i="23"/>
  <c r="O7" i="23"/>
  <c r="O6" i="23"/>
  <c r="L10" i="23"/>
  <c r="L8" i="23"/>
  <c r="L7" i="23"/>
  <c r="L5" i="23"/>
  <c r="I10" i="23"/>
  <c r="I8" i="23"/>
  <c r="I7" i="23"/>
  <c r="I6" i="23"/>
  <c r="I5" i="23"/>
  <c r="I12" i="23"/>
  <c r="G10" i="23"/>
  <c r="G8" i="23"/>
  <c r="G7" i="23"/>
  <c r="G6" i="23"/>
  <c r="E10" i="23"/>
  <c r="E8" i="23"/>
  <c r="E7" i="23"/>
  <c r="C10" i="23"/>
  <c r="C8" i="23"/>
  <c r="C7" i="23"/>
  <c r="AG17" i="23"/>
  <c r="AA17" i="23"/>
  <c r="U17" i="23"/>
  <c r="R17" i="23"/>
  <c r="O17" i="23"/>
  <c r="L17" i="23"/>
  <c r="I17" i="23"/>
  <c r="G17" i="23"/>
  <c r="E17" i="23"/>
  <c r="C17" i="23"/>
  <c r="AD17" i="23"/>
  <c r="AA11" i="23"/>
  <c r="O11" i="23"/>
  <c r="E11" i="23"/>
  <c r="AG11" i="23"/>
  <c r="AG18" i="23"/>
  <c r="AD11" i="23"/>
  <c r="U11" i="23"/>
  <c r="R11" i="23"/>
  <c r="L11" i="23"/>
  <c r="I11" i="23"/>
  <c r="G11" i="23"/>
  <c r="C11" i="23"/>
  <c r="O18" i="23"/>
  <c r="I18" i="23"/>
  <c r="L18" i="23"/>
  <c r="C18" i="23"/>
  <c r="AA18" i="23"/>
  <c r="R18" i="23"/>
  <c r="G18" i="23"/>
  <c r="U18" i="23"/>
  <c r="E18" i="23"/>
  <c r="AD18" i="23"/>
  <c r="V10" i="22"/>
  <c r="V8" i="22"/>
  <c r="V7" i="22"/>
  <c r="V5" i="22"/>
  <c r="O16" i="21"/>
  <c r="O14" i="21"/>
  <c r="O13" i="21"/>
  <c r="T10" i="22"/>
  <c r="T8" i="22"/>
  <c r="T7" i="22"/>
  <c r="T5" i="22"/>
  <c r="T16" i="22"/>
  <c r="T6" i="22"/>
  <c r="R10" i="22"/>
  <c r="R8" i="22"/>
  <c r="R7" i="22"/>
  <c r="R5" i="22"/>
  <c r="P8" i="22"/>
  <c r="P7" i="22"/>
  <c r="P5" i="22"/>
  <c r="N10" i="22"/>
  <c r="N8" i="22"/>
  <c r="N7" i="22"/>
  <c r="N5" i="22"/>
  <c r="L8" i="22"/>
  <c r="L7" i="22"/>
  <c r="L5" i="22"/>
  <c r="J8" i="22"/>
  <c r="J7" i="22"/>
  <c r="J5" i="22"/>
  <c r="H8" i="22"/>
  <c r="H7" i="22"/>
  <c r="H5" i="22"/>
  <c r="F8" i="22"/>
  <c r="F7" i="22"/>
  <c r="F5" i="22"/>
  <c r="E8" i="22"/>
  <c r="E7" i="22"/>
  <c r="E5" i="22"/>
  <c r="D8" i="22"/>
  <c r="D7" i="22"/>
  <c r="D5" i="22"/>
  <c r="Q12" i="21"/>
  <c r="Q13" i="21"/>
  <c r="Q14" i="21"/>
  <c r="Q16" i="21"/>
  <c r="C10" i="22"/>
  <c r="C7" i="22"/>
  <c r="C5" i="22"/>
  <c r="V17" i="22"/>
  <c r="T17" i="22"/>
  <c r="R17" i="22"/>
  <c r="P17" i="22"/>
  <c r="N17" i="22"/>
  <c r="L17" i="22"/>
  <c r="J17" i="22"/>
  <c r="H17" i="22"/>
  <c r="F17" i="22"/>
  <c r="E17" i="22"/>
  <c r="D17" i="22"/>
  <c r="C17" i="22"/>
  <c r="H11" i="22"/>
  <c r="F11" i="22"/>
  <c r="C11" i="22"/>
  <c r="V11" i="22"/>
  <c r="P11" i="22"/>
  <c r="N11" i="22"/>
  <c r="T11" i="22"/>
  <c r="R11" i="22"/>
  <c r="L11" i="22"/>
  <c r="J11" i="22"/>
  <c r="E11" i="22"/>
  <c r="D11" i="22"/>
  <c r="R18" i="22"/>
  <c r="J18" i="22"/>
  <c r="D18" i="22"/>
  <c r="P18" i="22"/>
  <c r="H18" i="22"/>
  <c r="N18" i="22"/>
  <c r="F18" i="22"/>
  <c r="L18" i="22"/>
  <c r="V18" i="22"/>
  <c r="E18" i="22"/>
  <c r="T18" i="22"/>
  <c r="C18" i="22"/>
  <c r="N10" i="21"/>
  <c r="N8" i="21"/>
  <c r="M8" i="21"/>
  <c r="N7" i="21"/>
  <c r="N5" i="21"/>
  <c r="M7" i="21"/>
  <c r="M6" i="21"/>
  <c r="O6" i="21"/>
  <c r="O8" i="21"/>
  <c r="O7" i="21"/>
  <c r="M10" i="21"/>
  <c r="O10" i="21"/>
  <c r="M5" i="21"/>
  <c r="O5" i="21"/>
  <c r="L10" i="21"/>
  <c r="L8" i="21"/>
  <c r="L7" i="21"/>
  <c r="L5" i="21"/>
  <c r="K10" i="21"/>
  <c r="K8" i="21"/>
  <c r="K7" i="21"/>
  <c r="K5" i="21"/>
  <c r="J5" i="21"/>
  <c r="J10" i="21"/>
  <c r="J8" i="21"/>
  <c r="J7" i="21"/>
  <c r="I10" i="21"/>
  <c r="I8" i="21"/>
  <c r="I7" i="21"/>
  <c r="I5" i="21"/>
  <c r="H10" i="21"/>
  <c r="H8" i="21"/>
  <c r="H7" i="21"/>
  <c r="H6" i="21"/>
  <c r="H5" i="21"/>
  <c r="G10" i="21"/>
  <c r="G7" i="21"/>
  <c r="G6" i="21"/>
  <c r="Q6" i="21"/>
  <c r="G5" i="21"/>
  <c r="F10" i="21"/>
  <c r="F8" i="21"/>
  <c r="F7" i="21"/>
  <c r="F5" i="21"/>
  <c r="E10" i="21"/>
  <c r="E8" i="21"/>
  <c r="E7" i="21"/>
  <c r="E5" i="21"/>
  <c r="D10" i="21"/>
  <c r="D8" i="21"/>
  <c r="D7" i="21"/>
  <c r="D5" i="21"/>
  <c r="C10" i="21"/>
  <c r="Q10" i="21"/>
  <c r="C8" i="21"/>
  <c r="Q8" i="21"/>
  <c r="C7" i="21"/>
  <c r="Q7" i="21"/>
  <c r="C5" i="21"/>
  <c r="Q5" i="21"/>
  <c r="N17" i="21"/>
  <c r="M17" i="21"/>
  <c r="L17" i="21"/>
  <c r="K17" i="21"/>
  <c r="J17" i="21"/>
  <c r="I17" i="21"/>
  <c r="H17" i="21"/>
  <c r="G17" i="21"/>
  <c r="E17" i="21"/>
  <c r="D17" i="21"/>
  <c r="C17" i="21"/>
  <c r="F17" i="21"/>
  <c r="F11" i="21"/>
  <c r="N11" i="21"/>
  <c r="K11" i="21"/>
  <c r="J11" i="21"/>
  <c r="G11" i="21"/>
  <c r="L11" i="21"/>
  <c r="H11" i="21"/>
  <c r="C11" i="21"/>
  <c r="M11" i="21"/>
  <c r="I11" i="21"/>
  <c r="E11" i="21"/>
  <c r="D11" i="21"/>
  <c r="I18" i="21"/>
  <c r="H18" i="21"/>
  <c r="M18" i="21"/>
  <c r="D18" i="21"/>
  <c r="L18" i="21"/>
  <c r="G18" i="21"/>
  <c r="F18" i="21"/>
  <c r="J18" i="21"/>
  <c r="E18" i="21"/>
  <c r="K18" i="21"/>
  <c r="N18" i="21"/>
  <c r="C18" i="21"/>
  <c r="N8" i="20"/>
  <c r="N7" i="20"/>
  <c r="N5" i="20"/>
  <c r="N10" i="20"/>
  <c r="M10" i="20"/>
  <c r="M8" i="20"/>
  <c r="M7" i="20"/>
  <c r="M5" i="20"/>
  <c r="L10" i="20"/>
  <c r="L8" i="20"/>
  <c r="L7" i="20"/>
  <c r="L5" i="20"/>
  <c r="D17" i="20"/>
  <c r="E17" i="20"/>
  <c r="G17" i="20"/>
  <c r="H17" i="20"/>
  <c r="I17" i="20"/>
  <c r="J17" i="20"/>
  <c r="K17" i="20"/>
  <c r="L17" i="20"/>
  <c r="M17" i="20"/>
  <c r="N17" i="20"/>
  <c r="F16" i="20"/>
  <c r="F17" i="20"/>
  <c r="C17" i="20"/>
  <c r="K10" i="20"/>
  <c r="K8" i="20"/>
  <c r="K7" i="20"/>
  <c r="K5" i="20"/>
  <c r="J10" i="20"/>
  <c r="J8" i="20"/>
  <c r="J7" i="20"/>
  <c r="J5" i="20"/>
  <c r="I10" i="20"/>
  <c r="I8" i="20"/>
  <c r="I7" i="20"/>
  <c r="I5" i="20"/>
  <c r="H10" i="20"/>
  <c r="H8" i="20"/>
  <c r="H7" i="20"/>
  <c r="H5" i="20"/>
  <c r="G10" i="20"/>
  <c r="G8" i="20"/>
  <c r="G7" i="20"/>
  <c r="G6" i="20"/>
  <c r="G5" i="20"/>
  <c r="E10" i="20"/>
  <c r="E8" i="20"/>
  <c r="E7" i="20"/>
  <c r="E5" i="20"/>
  <c r="D10" i="20"/>
  <c r="D8" i="20"/>
  <c r="D7" i="20"/>
  <c r="D5" i="20"/>
  <c r="C10" i="20"/>
  <c r="C8" i="20"/>
  <c r="C7" i="20"/>
  <c r="C6" i="20"/>
  <c r="C5" i="20"/>
  <c r="N11" i="20"/>
  <c r="N18" i="20"/>
  <c r="F11" i="20"/>
  <c r="C11" i="20"/>
  <c r="K11" i="20"/>
  <c r="J11" i="20"/>
  <c r="G11" i="20"/>
  <c r="M11" i="20"/>
  <c r="M18" i="20"/>
  <c r="L11" i="20"/>
  <c r="I11" i="20"/>
  <c r="H11" i="20"/>
  <c r="E11" i="20"/>
  <c r="D11" i="20"/>
  <c r="K18" i="20"/>
  <c r="L18" i="20"/>
  <c r="J18" i="20"/>
  <c r="I18" i="20"/>
  <c r="E18" i="20"/>
  <c r="D18" i="20"/>
  <c r="H18" i="20"/>
  <c r="G18" i="20"/>
  <c r="F18" i="20"/>
  <c r="C18" i="20"/>
  <c r="N10" i="19"/>
  <c r="N8" i="19"/>
  <c r="N7" i="19"/>
  <c r="N5" i="19"/>
  <c r="M10" i="19"/>
  <c r="M8" i="19"/>
  <c r="M7" i="19"/>
  <c r="M5" i="19"/>
  <c r="L10" i="19"/>
  <c r="L8" i="19"/>
  <c r="L7" i="19"/>
  <c r="L5" i="19"/>
  <c r="K10" i="19"/>
  <c r="K8" i="19"/>
  <c r="K7" i="19"/>
  <c r="K5" i="19"/>
  <c r="K16" i="19"/>
  <c r="K11" i="19"/>
  <c r="K17" i="19"/>
  <c r="J10" i="19"/>
  <c r="J8" i="19"/>
  <c r="J7" i="19"/>
  <c r="J5" i="19"/>
  <c r="D16" i="19"/>
  <c r="E16" i="19"/>
  <c r="F16" i="19"/>
  <c r="G16" i="19"/>
  <c r="H16" i="19"/>
  <c r="I16" i="19"/>
  <c r="J16" i="19"/>
  <c r="L16" i="19"/>
  <c r="M16" i="19"/>
  <c r="N16" i="19"/>
  <c r="C16" i="19"/>
  <c r="J11" i="19"/>
  <c r="J17" i="19"/>
  <c r="I10" i="19"/>
  <c r="I8" i="19"/>
  <c r="I7" i="19"/>
  <c r="I5" i="19"/>
  <c r="I11" i="19"/>
  <c r="I17" i="19"/>
  <c r="H10" i="19"/>
  <c r="H8" i="19"/>
  <c r="H7" i="19"/>
  <c r="H5" i="19"/>
  <c r="G5" i="19"/>
  <c r="G6" i="19"/>
  <c r="G7" i="19"/>
  <c r="G8" i="19"/>
  <c r="G11" i="19"/>
  <c r="G17" i="19"/>
  <c r="F10" i="19"/>
  <c r="F8" i="19"/>
  <c r="F7" i="19"/>
  <c r="F5" i="19"/>
  <c r="E10" i="19"/>
  <c r="E8" i="19"/>
  <c r="E7" i="19"/>
  <c r="E5" i="19"/>
  <c r="D10" i="19"/>
  <c r="D8" i="19"/>
  <c r="D7" i="19"/>
  <c r="D6" i="19"/>
  <c r="D5" i="19"/>
  <c r="C10" i="19"/>
  <c r="C8" i="19"/>
  <c r="C7" i="19"/>
  <c r="C6" i="19"/>
  <c r="C5" i="19"/>
  <c r="N11" i="19"/>
  <c r="N17" i="19"/>
  <c r="M11" i="19"/>
  <c r="M17" i="19"/>
  <c r="L11" i="19"/>
  <c r="L17" i="19"/>
  <c r="H11" i="19"/>
  <c r="H17" i="19"/>
  <c r="F11" i="19"/>
  <c r="F17" i="19"/>
  <c r="D11" i="19"/>
  <c r="D17" i="19"/>
  <c r="C11" i="19"/>
  <c r="C17" i="19"/>
  <c r="E11" i="19"/>
  <c r="E17" i="19"/>
  <c r="J5" i="18"/>
  <c r="E5" i="18"/>
  <c r="N11" i="18"/>
  <c r="N12" i="18"/>
  <c r="M11" i="18"/>
  <c r="M12" i="18"/>
  <c r="L11" i="18"/>
  <c r="L12" i="18"/>
  <c r="K11" i="18"/>
  <c r="K12" i="18"/>
  <c r="J11" i="18"/>
  <c r="J12" i="18"/>
  <c r="I11" i="18"/>
  <c r="I12" i="18"/>
  <c r="H11" i="18"/>
  <c r="H12" i="18"/>
  <c r="F11" i="18"/>
  <c r="F12" i="18"/>
  <c r="E11" i="18"/>
  <c r="E12" i="18"/>
  <c r="D11" i="18"/>
  <c r="D12" i="18"/>
  <c r="C11" i="18"/>
  <c r="C12" i="18"/>
  <c r="G11" i="18"/>
  <c r="G12" i="18"/>
  <c r="N5" i="17"/>
  <c r="N11" i="17"/>
  <c r="N12" i="17"/>
  <c r="G8" i="17"/>
  <c r="G7" i="17"/>
  <c r="M11" i="17"/>
  <c r="M12" i="17"/>
  <c r="L11" i="17"/>
  <c r="L12" i="17"/>
  <c r="K11" i="17"/>
  <c r="K12" i="17"/>
  <c r="J11" i="17"/>
  <c r="J12" i="17"/>
  <c r="I11" i="17"/>
  <c r="I12" i="17"/>
  <c r="H11" i="17"/>
  <c r="H12" i="17"/>
  <c r="G11" i="17"/>
  <c r="G12" i="17"/>
  <c r="F11" i="17"/>
  <c r="F12" i="17"/>
  <c r="E11" i="17"/>
  <c r="E12" i="17"/>
  <c r="D11" i="17"/>
  <c r="D12" i="17"/>
  <c r="C11" i="17"/>
  <c r="C12" i="17"/>
  <c r="N11" i="16"/>
  <c r="N12" i="16"/>
  <c r="M11" i="16"/>
  <c r="M12" i="16"/>
  <c r="L11" i="16"/>
  <c r="L12" i="16"/>
  <c r="K11" i="16"/>
  <c r="K12" i="16"/>
  <c r="J11" i="16"/>
  <c r="J12" i="16"/>
  <c r="I11" i="16"/>
  <c r="I12" i="16"/>
  <c r="H11" i="16"/>
  <c r="H12" i="16"/>
  <c r="G11" i="16"/>
  <c r="G12" i="16"/>
  <c r="F11" i="16"/>
  <c r="F12" i="16"/>
  <c r="E11" i="16"/>
  <c r="E12" i="16"/>
  <c r="D11" i="16"/>
  <c r="D12" i="16"/>
  <c r="C11" i="16"/>
  <c r="C12" i="16"/>
  <c r="N11" i="15"/>
  <c r="N12" i="15"/>
  <c r="M11" i="15"/>
  <c r="M12" i="15"/>
  <c r="L11" i="15"/>
  <c r="L12" i="15"/>
  <c r="K11" i="15"/>
  <c r="K12" i="15"/>
  <c r="J11" i="15"/>
  <c r="J12" i="15"/>
  <c r="I11" i="15"/>
  <c r="I12" i="15"/>
  <c r="H11" i="15"/>
  <c r="H12" i="15"/>
  <c r="G11" i="15"/>
  <c r="G12" i="15"/>
  <c r="F11" i="15"/>
  <c r="F12" i="15"/>
  <c r="E11" i="15"/>
  <c r="E12" i="15"/>
  <c r="D11" i="15"/>
  <c r="D12" i="15"/>
  <c r="C11" i="15"/>
  <c r="C12" i="15"/>
  <c r="X11" i="23" l="1"/>
  <c r="X18" i="23" s="1"/>
</calcChain>
</file>

<file path=xl/sharedStrings.xml><?xml version="1.0" encoding="utf-8"?>
<sst xmlns="http://schemas.openxmlformats.org/spreadsheetml/2006/main" count="337" uniqueCount="41">
  <si>
    <t>Наименование ТСО</t>
  </si>
  <si>
    <t>Расчетный период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</si>
  <si>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</si>
  <si>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</si>
  <si>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</si>
  <si>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</si>
  <si>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</si>
  <si>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</si>
  <si>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</si>
  <si>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</si>
  <si>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</si>
  <si>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</si>
  <si>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</si>
  <si>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</si>
  <si>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ВН</t>
  </si>
  <si>
    <t>СН1</t>
  </si>
  <si>
    <t>СН2</t>
  </si>
  <si>
    <t>НН</t>
  </si>
  <si>
    <t>ИТОГО</t>
  </si>
  <si>
    <t>ВСЕГО</t>
  </si>
  <si>
    <t>Прочие потребители, КВтч</t>
  </si>
  <si>
    <t>Население, КВтч</t>
  </si>
  <si>
    <t>ОАО "МРСК Волги" "Нижновэнерго"</t>
  </si>
  <si>
    <t>Информация о фактическом полезном отпуске электрической энергии (мощности) потребителям ООО "РУСЭНЕРГОСБЫТ" в границах Нижегородской области в разрезе ТСО за 2013 год</t>
  </si>
  <si>
    <t>Информация о фактическом полезном отпуске электрической энергии (мощности) потребителям ООО "РУСЭНЕРГОСБЫТ" в границах Нижегородской области в разрезе ТСО за 2014 год</t>
  </si>
  <si>
    <t>Информация о фактическом полезном отпуске электрической энергии (мощности) потребителям ООО "РУСЭНЕРГОСБЫТ" в границах Нижегородской области в разрезе ТСО за 2015 год</t>
  </si>
  <si>
    <t>ПАО "МРСК Волги" "Нижновэнерго"</t>
  </si>
  <si>
    <t>Информация о фактическом полезном отпуске электрической энергии (мощности) потребителям ООО "РУСЭНЕРГОСБЫТ" в границах Нижегородской области в разрезе ТСО за 2016 год</t>
  </si>
  <si>
    <t>Информация о фактическом полезном отпуске электрической энергии (мощности) потребителям ООО "РУСЭНЕРГОСБЫТ" в границах Нижегородской области в разрезе ТСО за 2017 год</t>
  </si>
  <si>
    <t>Горьковская дирекция по энергообеспечению - структурного подразделения "Трансэнерго"- филиала ОАО "РЖД"</t>
  </si>
  <si>
    <t>Информация о фактическом полезном отпуске электрической энергии (мощности) потребителям ООО "РУСЭНЕРГОСБЫТ" в границах Нижегородской области в разрезе ТСО за 2018 год</t>
  </si>
  <si>
    <t>Информация о фактическом полезном отпуске электрической энергии (мощности) потребителям ООО "РУСЭНЕРГОСБЫТ" в границах Нижегородской области в разрезе ТСО за 2019 год</t>
  </si>
  <si>
    <t>Информация о фактическом полезном отпуске электрической энергии (мощности) потребителям ООО "РУСЭНЕРГОСБЫТ" в границах Нижегородской области в разрезе ТСО за 2020 год</t>
  </si>
  <si>
    <t>ПАО «МРСК Центра и Приволжья» - «Нижновэнерго»</t>
  </si>
  <si>
    <t>Горьковская дирекция по энергообеспечению - структурное подразделение "Трансэнерго"- филиала ОАО "РЖД"</t>
  </si>
  <si>
    <t>Информация о фактическом полезном отпуске электрической энергии (мощности) потребителям ООО "РУСЭНЕРГОСБЫТ" в границах Нижегородской области в разрезе ТСО за 2021 год</t>
  </si>
  <si>
    <t>ПАО «Россети Центр и Приволжье» - «Нижновэнерго»</t>
  </si>
  <si>
    <t>Информация о фактическом полезном отпуске электрической энергии (мощности) потребителям ООО "РУСЭНЕРГОСБЫТ" в границах Нижегородской области в разрезе ТСО за 2022 год</t>
  </si>
  <si>
    <t>Информация о фактическом полезном отпуске электрической энергии (мощности) потребителям ООО "РУСЭНЕРГОСБЫТ" в границах Нижегородской области в разрезе ТСО за 2023 год</t>
  </si>
  <si>
    <t>ГН</t>
  </si>
  <si>
    <t>Информация о фактическом полезном отпуске электрической энергии (мощности) потребителям ООО "РУСЭНЕРГОСБЫТ" в границах Нижегородской области в разрезе ТСО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</si>
</sst>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 applyFill="1"/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64" fontId="3" fillId="0" borderId="3" xfId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3" fontId="2" fillId="0" borderId="3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/>
    </xf>
    <xf numFmtId="3" fontId="2" fillId="0" borderId="3" xfId="0" applyNumberFormat="1" applyFont="1" applyFill="1" applyBorder="1"/>
    <xf numFmtId="3" fontId="3" fillId="0" borderId="3" xfId="0" applyNumberFormat="1" applyFont="1" applyFill="1" applyBorder="1" applyAlignment="1">
      <alignment horizontal="center" vertical="center"/>
    </xf>
    <xf numFmtId="0" fontId="3" fillId="0" borderId="0" xfId="0" applyFont="1" applyFill="1"/>
    <xf numFmtId="3" fontId="2" fillId="2" borderId="3" xfId="0" applyNumberFormat="1" applyFont="1" applyFill="1" applyBorder="1" applyAlignment="1">
      <alignment horizontal="center" vertical="center"/>
    </xf>
    <xf numFmtId="0" fontId="2" fillId="2" borderId="0" xfId="0" applyFont="1" applyFill="1"/>
    <xf numFmtId="164" fontId="3" fillId="2" borderId="3" xfId="1" applyFont="1" applyFill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center"/>
    </xf>
    <xf numFmtId="3" fontId="3" fillId="0" borderId="6" xfId="0" applyNumberFormat="1" applyFont="1" applyFill="1" applyBorder="1" applyAlignment="1">
      <alignment horizontal="center"/>
    </xf>
    <xf numFmtId="3" fontId="3" fillId="0" borderId="4" xfId="0" applyNumberFormat="1" applyFont="1" applyFill="1" applyBorder="1" applyAlignment="1">
      <alignment horizontal="center"/>
    </xf>
    <xf numFmtId="3" fontId="3" fillId="0" borderId="6" xfId="0" applyNumberFormat="1" applyFont="1" applyFill="1" applyBorder="1" applyAlignment="1">
      <alignment horizontal="center"/>
    </xf>
    <xf numFmtId="3" fontId="2" fillId="0" borderId="0" xfId="0" applyNumberFormat="1" applyFont="1" applyFill="1"/>
    <xf numFmtId="0" fontId="2" fillId="0" borderId="0" xfId="0" applyFont="1" applyFill="1" applyBorder="1"/>
    <xf numFmtId="3" fontId="3" fillId="0" borderId="0" xfId="0" applyNumberFormat="1" applyFont="1" applyFill="1" applyBorder="1"/>
    <xf numFmtId="3" fontId="2" fillId="0" borderId="0" xfId="0" applyNumberFormat="1" applyFont="1" applyFill="1" applyBorder="1"/>
    <xf numFmtId="3" fontId="3" fillId="0" borderId="4" xfId="0" applyNumberFormat="1" applyFont="1" applyFill="1" applyBorder="1" applyAlignment="1">
      <alignment horizontal="center"/>
    </xf>
    <xf numFmtId="3" fontId="3" fillId="0" borderId="6" xfId="0" applyNumberFormat="1" applyFont="1" applyFill="1" applyBorder="1" applyAlignment="1">
      <alignment horizontal="center"/>
    </xf>
    <xf numFmtId="3" fontId="4" fillId="0" borderId="0" xfId="0" applyNumberFormat="1" applyFont="1" applyFill="1"/>
    <xf numFmtId="0" fontId="5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vertical="center"/>
    </xf>
    <xf numFmtId="0" fontId="6" fillId="0" borderId="0" xfId="0" applyFont="1" applyFill="1"/>
    <xf numFmtId="3" fontId="7" fillId="0" borderId="3" xfId="0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/>
    </xf>
    <xf numFmtId="3" fontId="7" fillId="0" borderId="3" xfId="0" applyNumberFormat="1" applyFont="1" applyFill="1" applyBorder="1" applyAlignment="1">
      <alignment horizontal="center" vertical="center" wrapText="1"/>
    </xf>
    <xf numFmtId="3" fontId="7" fillId="0" borderId="3" xfId="0" applyNumberFormat="1" applyFont="1" applyFill="1" applyBorder="1"/>
    <xf numFmtId="3" fontId="8" fillId="0" borderId="4" xfId="0" applyNumberFormat="1" applyFont="1" applyFill="1" applyBorder="1" applyAlignment="1">
      <alignment horizontal="center"/>
    </xf>
    <xf numFmtId="3" fontId="8" fillId="0" borderId="6" xfId="0" applyNumberFormat="1" applyFont="1" applyFill="1" applyBorder="1" applyAlignment="1">
      <alignment horizontal="center"/>
    </xf>
    <xf numFmtId="0" fontId="7" fillId="0" borderId="0" xfId="0" applyFont="1" applyFill="1"/>
    <xf numFmtId="0" fontId="7" fillId="0" borderId="0" xfId="0" applyFont="1" applyFill="1" applyBorder="1"/>
    <xf numFmtId="3" fontId="8" fillId="0" borderId="0" xfId="0" applyNumberFormat="1" applyFont="1" applyFill="1" applyBorder="1"/>
    <xf numFmtId="3" fontId="7" fillId="0" borderId="0" xfId="0" applyNumberFormat="1" applyFont="1" applyFill="1" applyBorder="1"/>
    <xf numFmtId="3" fontId="7" fillId="0" borderId="0" xfId="0" applyNumberFormat="1" applyFont="1" applyFill="1"/>
    <xf numFmtId="3" fontId="8" fillId="0" borderId="4" xfId="0" applyNumberFormat="1" applyFont="1" applyFill="1" applyBorder="1" applyAlignment="1">
      <alignment horizontal="center"/>
    </xf>
    <xf numFmtId="3" fontId="8" fillId="0" borderId="6" xfId="0" applyNumberFormat="1" applyFont="1" applyFill="1" applyBorder="1" applyAlignment="1">
      <alignment horizontal="center"/>
    </xf>
    <xf numFmtId="3" fontId="8" fillId="0" borderId="4" xfId="0" applyNumberFormat="1" applyFont="1" applyFill="1" applyBorder="1" applyAlignment="1">
      <alignment horizontal="center"/>
    </xf>
    <xf numFmtId="3" fontId="8" fillId="0" borderId="6" xfId="0" applyNumberFormat="1" applyFont="1" applyFill="1" applyBorder="1" applyAlignment="1">
      <alignment horizontal="center"/>
    </xf>
    <xf numFmtId="3" fontId="8" fillId="0" borderId="4" xfId="0" applyNumberFormat="1" applyFont="1" applyFill="1" applyBorder="1" applyAlignment="1">
      <alignment horizontal="center"/>
    </xf>
    <xf numFmtId="3" fontId="8" fillId="0" borderId="6" xfId="0" applyNumberFormat="1" applyFont="1" applyFill="1" applyBorder="1" applyAlignment="1">
      <alignment horizontal="center"/>
    </xf>
    <xf numFmtId="3" fontId="7" fillId="0" borderId="4" xfId="0" applyNumberFormat="1" applyFont="1" applyFill="1" applyBorder="1" applyAlignment="1">
      <alignment horizontal="center" vertical="center"/>
    </xf>
    <xf numFmtId="3" fontId="7" fillId="0" borderId="4" xfId="0" applyNumberFormat="1" applyFont="1" applyFill="1" applyBorder="1" applyAlignment="1">
      <alignment horizontal="center" vertical="center" wrapText="1"/>
    </xf>
    <xf numFmtId="3" fontId="8" fillId="0" borderId="4" xfId="0" applyNumberFormat="1" applyFont="1" applyFill="1" applyBorder="1" applyAlignment="1">
      <alignment horizontal="center"/>
    </xf>
    <xf numFmtId="3" fontId="8" fillId="0" borderId="6" xfId="0" applyNumberFormat="1" applyFont="1" applyFill="1" applyBorder="1" applyAlignment="1">
      <alignment horizontal="center"/>
    </xf>
    <xf numFmtId="3" fontId="7" fillId="0" borderId="4" xfId="0" applyNumberFormat="1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center"/>
    </xf>
    <xf numFmtId="3" fontId="3" fillId="0" borderId="6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3" fontId="2" fillId="0" borderId="7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/>
    </xf>
    <xf numFmtId="3" fontId="2" fillId="0" borderId="5" xfId="0" applyNumberFormat="1" applyFont="1" applyFill="1" applyBorder="1" applyAlignment="1">
      <alignment horizontal="center" vertical="center"/>
    </xf>
    <xf numFmtId="3" fontId="2" fillId="0" borderId="6" xfId="0" applyNumberFormat="1" applyFont="1" applyFill="1" applyBorder="1" applyAlignment="1">
      <alignment horizontal="center" vertical="center"/>
    </xf>
    <xf numFmtId="3" fontId="2" fillId="0" borderId="2" xfId="0" applyNumberFormat="1" applyFont="1" applyFill="1" applyBorder="1" applyAlignment="1">
      <alignment horizontal="center" wrapText="1"/>
    </xf>
    <xf numFmtId="3" fontId="2" fillId="0" borderId="7" xfId="0" applyNumberFormat="1" applyFont="1" applyFill="1" applyBorder="1" applyAlignment="1">
      <alignment horizontal="center" wrapText="1"/>
    </xf>
    <xf numFmtId="3" fontId="2" fillId="0" borderId="8" xfId="0" applyNumberFormat="1" applyFont="1" applyFill="1" applyBorder="1" applyAlignment="1">
      <alignment horizontal="center" wrapText="1"/>
    </xf>
    <xf numFmtId="3" fontId="2" fillId="0" borderId="9" xfId="0" applyNumberFormat="1" applyFont="1" applyFill="1" applyBorder="1" applyAlignment="1">
      <alignment horizontal="center" wrapText="1"/>
    </xf>
    <xf numFmtId="3" fontId="2" fillId="0" borderId="10" xfId="0" applyNumberFormat="1" applyFont="1" applyFill="1" applyBorder="1" applyAlignment="1">
      <alignment horizontal="center" wrapText="1"/>
    </xf>
    <xf numFmtId="3" fontId="2" fillId="0" borderId="11" xfId="0" applyNumberFormat="1" applyFont="1" applyFill="1" applyBorder="1" applyAlignment="1">
      <alignment horizontal="center" wrapText="1"/>
    </xf>
    <xf numFmtId="3" fontId="8" fillId="0" borderId="4" xfId="0" applyNumberFormat="1" applyFont="1" applyFill="1" applyBorder="1" applyAlignment="1">
      <alignment horizontal="center"/>
    </xf>
    <xf numFmtId="3" fontId="8" fillId="0" borderId="6" xfId="0" applyNumberFormat="1" applyFont="1" applyFill="1" applyBorder="1" applyAlignment="1">
      <alignment horizontal="center"/>
    </xf>
    <xf numFmtId="3" fontId="7" fillId="0" borderId="2" xfId="0" applyNumberFormat="1" applyFont="1" applyFill="1" applyBorder="1" applyAlignment="1">
      <alignment horizontal="center" vertical="center" wrapText="1"/>
    </xf>
    <xf numFmtId="3" fontId="7" fillId="0" borderId="7" xfId="0" applyNumberFormat="1" applyFont="1" applyFill="1" applyBorder="1" applyAlignment="1">
      <alignment horizontal="center" vertical="center" wrapText="1"/>
    </xf>
    <xf numFmtId="3" fontId="7" fillId="0" borderId="4" xfId="0" applyNumberFormat="1" applyFont="1" applyFill="1" applyBorder="1" applyAlignment="1">
      <alignment horizontal="center" vertical="center"/>
    </xf>
    <xf numFmtId="3" fontId="7" fillId="0" borderId="5" xfId="0" applyNumberFormat="1" applyFont="1" applyFill="1" applyBorder="1" applyAlignment="1">
      <alignment horizontal="center" vertical="center"/>
    </xf>
    <xf numFmtId="3" fontId="7" fillId="0" borderId="6" xfId="0" applyNumberFormat="1" applyFont="1" applyFill="1" applyBorder="1" applyAlignment="1">
      <alignment horizontal="center" vertical="center"/>
    </xf>
    <xf numFmtId="3" fontId="7" fillId="0" borderId="9" xfId="0" applyNumberFormat="1" applyFont="1" applyFill="1" applyBorder="1" applyAlignment="1">
      <alignment horizontal="center" wrapText="1"/>
    </xf>
    <xf numFmtId="3" fontId="7" fillId="0" borderId="10" xfId="0" applyNumberFormat="1" applyFont="1" applyFill="1" applyBorder="1" applyAlignment="1">
      <alignment horizontal="center" wrapText="1"/>
    </xf>
    <xf numFmtId="3" fontId="7" fillId="0" borderId="11" xfId="0" applyNumberFormat="1" applyFont="1" applyFill="1" applyBorder="1" applyAlignment="1">
      <alignment horizontal="center" wrapText="1"/>
    </xf>
    <xf numFmtId="3" fontId="7" fillId="0" borderId="8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6;&#1072;&#1089;&#1095;&#1077;&#1090;&#1099;%202021\&#1091;&#1089;&#1083;&#1091;&#1075;&#1080;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Алтайский край"/>
      <sheetName val="Амурская область"/>
      <sheetName val="Архангельская область"/>
      <sheetName val="Астраханская область"/>
      <sheetName val="Белгородская область"/>
      <sheetName val="Брянская область"/>
      <sheetName val="Владимирская область"/>
      <sheetName val="Волгоградская область"/>
      <sheetName val="Вологодская область"/>
      <sheetName val="Воронежская область"/>
      <sheetName val="ЕАО"/>
      <sheetName val="Забайкальский край"/>
      <sheetName val="Ивановская область"/>
      <sheetName val="Иркутская область"/>
      <sheetName val="КБР"/>
      <sheetName val="Калининградская область"/>
      <sheetName val="Калужская область"/>
      <sheetName val="Кемеровская область"/>
      <sheetName val="Кировская область"/>
      <sheetName val="Костромская область"/>
      <sheetName val="Краснодарский край"/>
      <sheetName val="Красноярский край"/>
      <sheetName val="Курганская область"/>
      <sheetName val="Курская область"/>
      <sheetName val="Ленинградская область"/>
      <sheetName val="Липецкая область"/>
      <sheetName val="Москва"/>
      <sheetName val="Московская область"/>
      <sheetName val="Мурманская область"/>
      <sheetName val="Нижегородская область"/>
      <sheetName val="Новгородская область"/>
      <sheetName val="Новосибирская область"/>
      <sheetName val="Омская область"/>
      <sheetName val="Оренбургская область"/>
      <sheetName val="Орловская область"/>
      <sheetName val="Пензенская область"/>
      <sheetName val="Пермский край"/>
      <sheetName val="Приморский край"/>
      <sheetName val="Псковская область"/>
      <sheetName val="Республика Алтай"/>
      <sheetName val="Республика Башкортостан"/>
      <sheetName val="Республика Бурятия"/>
      <sheetName val="Республика Дагестан"/>
      <sheetName val="Республика Карелия"/>
      <sheetName val="Республика Коми"/>
      <sheetName val="Республика Мордовия"/>
      <sheetName val="Республика Северная Осетия"/>
      <sheetName val="Республика Саха (Якутия)"/>
      <sheetName val="Республика Татарстан"/>
      <sheetName val="Республика Хакасия"/>
      <sheetName val="Ростовская область"/>
      <sheetName val="Рязанская область"/>
      <sheetName val="Самарская область"/>
      <sheetName val="Санкт-Петербург"/>
      <sheetName val="Саратовская область"/>
      <sheetName val="Свердловская область"/>
      <sheetName val="Смоленская область"/>
      <sheetName val="Ставропольский край"/>
      <sheetName val="Тамбовская область"/>
      <sheetName val="Тверская область"/>
      <sheetName val="Томская область"/>
      <sheetName val="Тульская область"/>
      <sheetName val="Тюменская область"/>
      <sheetName val="Удмуртская Республика"/>
      <sheetName val="Ульяновская область"/>
      <sheetName val="Хабаровский край"/>
      <sheetName val="Челябинская область"/>
      <sheetName val="Чувашская Республика"/>
      <sheetName val="Ярославская област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315">
          <cell r="L315">
            <v>34331190.999999963</v>
          </cell>
        </row>
        <row r="316">
          <cell r="L316">
            <v>99179</v>
          </cell>
        </row>
        <row r="317">
          <cell r="L317">
            <v>30535</v>
          </cell>
        </row>
        <row r="318">
          <cell r="L318">
            <v>419695</v>
          </cell>
        </row>
        <row r="319">
          <cell r="L319">
            <v>157530</v>
          </cell>
        </row>
        <row r="320">
          <cell r="L320">
            <v>73420</v>
          </cell>
        </row>
        <row r="321">
          <cell r="L321">
            <v>33718</v>
          </cell>
        </row>
        <row r="322">
          <cell r="L322">
            <v>4531</v>
          </cell>
        </row>
        <row r="323">
          <cell r="L323">
            <v>6625</v>
          </cell>
        </row>
        <row r="324">
          <cell r="L324">
            <v>961586</v>
          </cell>
        </row>
        <row r="325">
          <cell r="L325">
            <v>162832</v>
          </cell>
        </row>
        <row r="326">
          <cell r="L326">
            <v>317154</v>
          </cell>
        </row>
        <row r="327">
          <cell r="L327">
            <v>170571</v>
          </cell>
        </row>
        <row r="328">
          <cell r="L328">
            <v>1879</v>
          </cell>
        </row>
        <row r="329">
          <cell r="L329">
            <v>573302</v>
          </cell>
        </row>
        <row r="330">
          <cell r="L330">
            <v>171</v>
          </cell>
        </row>
        <row r="331">
          <cell r="L331">
            <v>419329</v>
          </cell>
        </row>
        <row r="332">
          <cell r="L332">
            <v>179491</v>
          </cell>
        </row>
        <row r="333">
          <cell r="L333">
            <v>136440</v>
          </cell>
        </row>
        <row r="334">
          <cell r="L334">
            <v>66669</v>
          </cell>
        </row>
        <row r="335">
          <cell r="L335">
            <v>2105</v>
          </cell>
        </row>
        <row r="336">
          <cell r="L336">
            <v>1423</v>
          </cell>
        </row>
        <row r="337">
          <cell r="L337">
            <v>7495</v>
          </cell>
        </row>
        <row r="338">
          <cell r="L338">
            <v>4899</v>
          </cell>
        </row>
        <row r="342">
          <cell r="L342">
            <v>45688</v>
          </cell>
        </row>
        <row r="343">
          <cell r="L343">
            <v>16158</v>
          </cell>
        </row>
        <row r="344">
          <cell r="L344">
            <v>9937</v>
          </cell>
        </row>
        <row r="345">
          <cell r="L345">
            <v>3277</v>
          </cell>
        </row>
        <row r="346">
          <cell r="L346">
            <v>321</v>
          </cell>
        </row>
        <row r="347">
          <cell r="L347">
            <v>1645</v>
          </cell>
        </row>
        <row r="348">
          <cell r="L348">
            <v>0</v>
          </cell>
        </row>
        <row r="349">
          <cell r="L349">
            <v>0</v>
          </cell>
        </row>
        <row r="350">
          <cell r="L350">
            <v>5327495</v>
          </cell>
        </row>
        <row r="351">
          <cell r="L351">
            <v>31211</v>
          </cell>
        </row>
        <row r="352">
          <cell r="L352">
            <v>770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2"/>
  <sheetViews>
    <sheetView workbookViewId="0">
      <selection activeCell="A4" sqref="A4:A10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2" customWidth="1"/>
    <col min="4" max="4" width="16.7109375" style="12" customWidth="1"/>
    <col min="5" max="5" width="16.42578125" style="12" customWidth="1"/>
    <col min="6" max="6" width="15.85546875" style="12" customWidth="1"/>
    <col min="7" max="7" width="17.85546875" style="12" customWidth="1"/>
    <col min="8" max="8" width="18.42578125" style="12" customWidth="1"/>
    <col min="9" max="9" width="19.85546875" style="12" customWidth="1"/>
    <col min="10" max="10" width="21" style="12" customWidth="1"/>
    <col min="11" max="11" width="22.140625" style="12" customWidth="1"/>
    <col min="12" max="12" width="22.42578125" style="12" customWidth="1"/>
    <col min="13" max="13" width="24.28515625" style="12" customWidth="1"/>
    <col min="14" max="14" width="24.140625" style="12" customWidth="1"/>
    <col min="15" max="16384" width="9.140625" style="1"/>
  </cols>
  <sheetData>
    <row r="2" spans="1:14" ht="42.75" customHeight="1" x14ac:dyDescent="0.25">
      <c r="A2" s="54" t="s">
        <v>23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spans="1:14" s="5" customFormat="1" ht="33" customHeight="1" x14ac:dyDescent="0.25">
      <c r="A3" s="2" t="s">
        <v>0</v>
      </c>
      <c r="B3" s="3" t="s">
        <v>1</v>
      </c>
      <c r="C3" s="13" t="s">
        <v>2</v>
      </c>
      <c r="D3" s="13" t="s">
        <v>3</v>
      </c>
      <c r="E3" s="13" t="s">
        <v>4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  <c r="K3" s="13" t="s">
        <v>10</v>
      </c>
      <c r="L3" s="13" t="s">
        <v>11</v>
      </c>
      <c r="M3" s="13" t="s">
        <v>12</v>
      </c>
      <c r="N3" s="13" t="s">
        <v>13</v>
      </c>
    </row>
    <row r="4" spans="1:14" ht="22.5" customHeight="1" x14ac:dyDescent="0.25">
      <c r="A4" s="55" t="s">
        <v>22</v>
      </c>
      <c r="B4" s="57" t="s">
        <v>20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9"/>
    </row>
    <row r="5" spans="1:14" ht="22.5" customHeight="1" x14ac:dyDescent="0.25">
      <c r="A5" s="56"/>
      <c r="B5" s="6" t="s">
        <v>14</v>
      </c>
      <c r="C5" s="11">
        <v>70797394</v>
      </c>
      <c r="D5" s="11">
        <v>61933222</v>
      </c>
      <c r="E5" s="11">
        <v>71459655</v>
      </c>
      <c r="F5" s="11">
        <v>60534186</v>
      </c>
      <c r="G5" s="11">
        <v>56411385</v>
      </c>
      <c r="H5" s="11">
        <v>57484320</v>
      </c>
      <c r="I5" s="11">
        <v>43451850</v>
      </c>
      <c r="J5" s="11">
        <v>43761864</v>
      </c>
      <c r="K5" s="11">
        <v>43535175</v>
      </c>
      <c r="L5" s="11">
        <v>49734347</v>
      </c>
      <c r="M5" s="11">
        <v>48369514</v>
      </c>
      <c r="N5" s="11">
        <v>48898238</v>
      </c>
    </row>
    <row r="6" spans="1:14" ht="22.5" customHeight="1" x14ac:dyDescent="0.25">
      <c r="A6" s="56"/>
      <c r="B6" s="6" t="s">
        <v>15</v>
      </c>
      <c r="C6" s="11">
        <v>873316</v>
      </c>
      <c r="D6" s="11">
        <v>764245</v>
      </c>
      <c r="E6" s="11">
        <v>802800</v>
      </c>
      <c r="F6" s="11">
        <v>580178</v>
      </c>
      <c r="G6" s="11">
        <v>397393</v>
      </c>
      <c r="H6" s="11">
        <v>523376</v>
      </c>
      <c r="I6" s="11">
        <v>703431</v>
      </c>
      <c r="J6" s="11">
        <v>657457</v>
      </c>
      <c r="K6" s="11">
        <v>498163</v>
      </c>
      <c r="L6" s="11">
        <v>629692</v>
      </c>
      <c r="M6" s="11">
        <v>791996</v>
      </c>
      <c r="N6" s="11">
        <v>1602759</v>
      </c>
    </row>
    <row r="7" spans="1:14" ht="22.5" customHeight="1" x14ac:dyDescent="0.25">
      <c r="A7" s="56"/>
      <c r="B7" s="6" t="s">
        <v>16</v>
      </c>
      <c r="C7" s="11">
        <v>7341866</v>
      </c>
      <c r="D7" s="11">
        <v>7820559</v>
      </c>
      <c r="E7" s="11">
        <v>6795174</v>
      </c>
      <c r="F7" s="11">
        <v>6079054</v>
      </c>
      <c r="G7" s="11">
        <v>5591232</v>
      </c>
      <c r="H7" s="11">
        <v>4676042</v>
      </c>
      <c r="I7" s="11">
        <v>4209752</v>
      </c>
      <c r="J7" s="11">
        <v>4676764</v>
      </c>
      <c r="K7" s="11">
        <v>4805932</v>
      </c>
      <c r="L7" s="11">
        <v>5868570</v>
      </c>
      <c r="M7" s="11">
        <v>6208410</v>
      </c>
      <c r="N7" s="11">
        <v>7041651</v>
      </c>
    </row>
    <row r="8" spans="1:14" ht="22.5" customHeight="1" x14ac:dyDescent="0.25">
      <c r="A8" s="56"/>
      <c r="B8" s="6" t="s">
        <v>17</v>
      </c>
      <c r="C8" s="11">
        <v>1761290</v>
      </c>
      <c r="D8" s="11">
        <v>1565720</v>
      </c>
      <c r="E8" s="11">
        <v>1416283</v>
      </c>
      <c r="F8" s="11">
        <v>1402234</v>
      </c>
      <c r="G8" s="11">
        <v>973961</v>
      </c>
      <c r="H8" s="11">
        <v>850086</v>
      </c>
      <c r="I8" s="11">
        <v>853294</v>
      </c>
      <c r="J8" s="11">
        <v>813830</v>
      </c>
      <c r="K8" s="11">
        <v>828698</v>
      </c>
      <c r="L8" s="11">
        <v>925045</v>
      </c>
      <c r="M8" s="11">
        <v>831997</v>
      </c>
      <c r="N8" s="11">
        <v>1048286</v>
      </c>
    </row>
    <row r="9" spans="1:14" ht="22.5" customHeight="1" x14ac:dyDescent="0.25">
      <c r="A9" s="56"/>
      <c r="B9" s="57" t="s">
        <v>21</v>
      </c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9"/>
    </row>
    <row r="10" spans="1:14" ht="22.5" customHeight="1" x14ac:dyDescent="0.25">
      <c r="A10" s="56"/>
      <c r="B10" s="8"/>
      <c r="C10" s="11">
        <v>1049733</v>
      </c>
      <c r="D10" s="11">
        <v>1051814</v>
      </c>
      <c r="E10" s="11">
        <v>1020296</v>
      </c>
      <c r="F10" s="11">
        <v>713154</v>
      </c>
      <c r="G10" s="11">
        <v>912539</v>
      </c>
      <c r="H10" s="11">
        <v>958189</v>
      </c>
      <c r="I10" s="11">
        <v>890713</v>
      </c>
      <c r="J10" s="11">
        <v>946549</v>
      </c>
      <c r="K10" s="11">
        <v>922000</v>
      </c>
      <c r="L10" s="11">
        <v>869021</v>
      </c>
      <c r="M10" s="11">
        <v>751990</v>
      </c>
      <c r="N10" s="11">
        <v>695293</v>
      </c>
    </row>
    <row r="11" spans="1:14" ht="22.5" customHeight="1" x14ac:dyDescent="0.25">
      <c r="A11" s="52" t="s">
        <v>18</v>
      </c>
      <c r="B11" s="53"/>
      <c r="C11" s="14">
        <f t="shared" ref="C11:N11" si="0">SUM(C5:C8,C10)</f>
        <v>81823599</v>
      </c>
      <c r="D11" s="14">
        <f t="shared" si="0"/>
        <v>73135560</v>
      </c>
      <c r="E11" s="14">
        <f t="shared" si="0"/>
        <v>81494208</v>
      </c>
      <c r="F11" s="14">
        <f t="shared" si="0"/>
        <v>69308806</v>
      </c>
      <c r="G11" s="14">
        <f t="shared" si="0"/>
        <v>64286510</v>
      </c>
      <c r="H11" s="14">
        <f t="shared" si="0"/>
        <v>64492013</v>
      </c>
      <c r="I11" s="14">
        <f t="shared" si="0"/>
        <v>50109040</v>
      </c>
      <c r="J11" s="14">
        <f t="shared" si="0"/>
        <v>50856464</v>
      </c>
      <c r="K11" s="14">
        <f t="shared" si="0"/>
        <v>50589968</v>
      </c>
      <c r="L11" s="14">
        <f t="shared" si="0"/>
        <v>58026675</v>
      </c>
      <c r="M11" s="14">
        <f t="shared" si="0"/>
        <v>56953907</v>
      </c>
      <c r="N11" s="14">
        <f t="shared" si="0"/>
        <v>59286227</v>
      </c>
    </row>
    <row r="12" spans="1:14" s="10" customFormat="1" ht="22.5" customHeight="1" x14ac:dyDescent="0.2">
      <c r="A12" s="52" t="s">
        <v>19</v>
      </c>
      <c r="B12" s="53"/>
      <c r="C12" s="14">
        <f>C11</f>
        <v>81823599</v>
      </c>
      <c r="D12" s="14">
        <f t="shared" ref="D12:N12" si="1">D11</f>
        <v>73135560</v>
      </c>
      <c r="E12" s="14">
        <f t="shared" si="1"/>
        <v>81494208</v>
      </c>
      <c r="F12" s="14">
        <f t="shared" si="1"/>
        <v>69308806</v>
      </c>
      <c r="G12" s="14">
        <f t="shared" si="1"/>
        <v>64286510</v>
      </c>
      <c r="H12" s="14">
        <f t="shared" si="1"/>
        <v>64492013</v>
      </c>
      <c r="I12" s="14">
        <f t="shared" si="1"/>
        <v>50109040</v>
      </c>
      <c r="J12" s="14">
        <f t="shared" si="1"/>
        <v>50856464</v>
      </c>
      <c r="K12" s="14">
        <f t="shared" si="1"/>
        <v>50589968</v>
      </c>
      <c r="L12" s="14">
        <f t="shared" si="1"/>
        <v>58026675</v>
      </c>
      <c r="M12" s="14">
        <f t="shared" si="1"/>
        <v>56953907</v>
      </c>
      <c r="N12" s="14">
        <f t="shared" si="1"/>
        <v>59286227</v>
      </c>
    </row>
  </sheetData>
  <mergeCells count="6">
    <mergeCell ref="A12:B12"/>
    <mergeCell ref="A2:N2"/>
    <mergeCell ref="A4:A10"/>
    <mergeCell ref="B4:N4"/>
    <mergeCell ref="B9:N9"/>
    <mergeCell ref="A11:B1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U34"/>
  <sheetViews>
    <sheetView zoomScale="70" zoomScaleNormal="70" workbookViewId="0">
      <selection activeCell="AT5" sqref="AT5"/>
    </sheetView>
  </sheetViews>
  <sheetFormatPr defaultColWidth="9.140625" defaultRowHeight="15" x14ac:dyDescent="0.25"/>
  <cols>
    <col min="1" max="1" width="30" style="1" customWidth="1"/>
    <col min="2" max="2" width="14.85546875" style="1" customWidth="1"/>
    <col min="3" max="3" width="14.85546875" style="1" hidden="1" customWidth="1"/>
    <col min="4" max="4" width="16" style="1" customWidth="1"/>
    <col min="5" max="6" width="16" style="1" hidden="1" customWidth="1"/>
    <col min="7" max="7" width="16.7109375" style="1" customWidth="1"/>
    <col min="8" max="9" width="16.7109375" style="1" hidden="1" customWidth="1"/>
    <col min="10" max="10" width="16.42578125" style="1" customWidth="1"/>
    <col min="11" max="12" width="16.42578125" style="1" hidden="1" customWidth="1"/>
    <col min="13" max="13" width="15.85546875" style="1" customWidth="1"/>
    <col min="14" max="16" width="15.85546875" style="1" hidden="1" customWidth="1"/>
    <col min="17" max="17" width="17.85546875" style="1" customWidth="1"/>
    <col min="18" max="20" width="17.85546875" style="1" hidden="1" customWidth="1"/>
    <col min="21" max="21" width="18.42578125" style="1" customWidth="1"/>
    <col min="22" max="24" width="18.42578125" style="1" hidden="1" customWidth="1"/>
    <col min="25" max="25" width="19.85546875" style="1" customWidth="1"/>
    <col min="26" max="28" width="19.85546875" style="1" hidden="1" customWidth="1"/>
    <col min="29" max="29" width="21" style="1" customWidth="1"/>
    <col min="30" max="32" width="21" style="1" hidden="1" customWidth="1"/>
    <col min="33" max="33" width="22.140625" style="1" customWidth="1"/>
    <col min="34" max="36" width="22.140625" style="1" hidden="1" customWidth="1"/>
    <col min="37" max="37" width="22.42578125" style="1" customWidth="1"/>
    <col min="38" max="40" width="22.42578125" style="1" hidden="1" customWidth="1"/>
    <col min="41" max="41" width="24.28515625" style="1" customWidth="1"/>
    <col min="42" max="44" width="24.28515625" style="1" hidden="1" customWidth="1"/>
    <col min="45" max="45" width="24.28515625" style="1" customWidth="1"/>
    <col min="46" max="46" width="9.140625" style="27"/>
    <col min="47" max="47" width="10.7109375" style="1" bestFit="1" customWidth="1"/>
    <col min="48" max="16384" width="9.140625" style="1"/>
  </cols>
  <sheetData>
    <row r="2" spans="1:47" ht="42.75" customHeight="1" x14ac:dyDescent="0.25">
      <c r="A2" s="54" t="s">
        <v>37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</row>
    <row r="3" spans="1:47" s="5" customFormat="1" ht="33" customHeight="1" x14ac:dyDescent="0.25">
      <c r="A3" s="2" t="s">
        <v>0</v>
      </c>
      <c r="B3" s="3" t="s">
        <v>1</v>
      </c>
      <c r="C3" s="3"/>
      <c r="D3" s="4" t="s">
        <v>2</v>
      </c>
      <c r="E3" s="4"/>
      <c r="F3" s="4"/>
      <c r="G3" s="4" t="s">
        <v>3</v>
      </c>
      <c r="H3" s="4"/>
      <c r="I3" s="4"/>
      <c r="J3" s="4" t="s">
        <v>4</v>
      </c>
      <c r="K3" s="4"/>
      <c r="L3" s="4"/>
      <c r="M3" s="4" t="s">
        <v>5</v>
      </c>
      <c r="N3" s="4"/>
      <c r="O3" s="4"/>
      <c r="P3" s="4"/>
      <c r="Q3" s="4" t="s">
        <v>6</v>
      </c>
      <c r="R3" s="4"/>
      <c r="S3" s="4"/>
      <c r="T3" s="4"/>
      <c r="U3" s="4" t="s">
        <v>7</v>
      </c>
      <c r="V3" s="4"/>
      <c r="W3" s="4"/>
      <c r="X3" s="4"/>
      <c r="Y3" s="4" t="s">
        <v>8</v>
      </c>
      <c r="Z3" s="4"/>
      <c r="AA3" s="4"/>
      <c r="AB3" s="4"/>
      <c r="AC3" s="4" t="s">
        <v>9</v>
      </c>
      <c r="AD3" s="4"/>
      <c r="AE3" s="4"/>
      <c r="AF3" s="4"/>
      <c r="AG3" s="4" t="s">
        <v>10</v>
      </c>
      <c r="AH3" s="4"/>
      <c r="AI3" s="4"/>
      <c r="AJ3" s="4"/>
      <c r="AK3" s="4" t="s">
        <v>11</v>
      </c>
      <c r="AL3" s="4"/>
      <c r="AM3" s="4"/>
      <c r="AN3" s="4"/>
      <c r="AO3" s="4" t="s">
        <v>12</v>
      </c>
      <c r="AP3" s="4"/>
      <c r="AQ3" s="4"/>
      <c r="AR3" s="4"/>
      <c r="AS3" s="4" t="s">
        <v>13</v>
      </c>
      <c r="AT3" s="28"/>
    </row>
    <row r="4" spans="1:47" ht="22.5" customHeight="1" x14ac:dyDescent="0.25">
      <c r="A4" s="68" t="s">
        <v>36</v>
      </c>
      <c r="B4" s="70" t="s">
        <v>20</v>
      </c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2"/>
    </row>
    <row r="5" spans="1:47" ht="22.5" customHeight="1" x14ac:dyDescent="0.25">
      <c r="A5" s="69"/>
      <c r="B5" s="32" t="s">
        <v>14</v>
      </c>
      <c r="C5" s="32">
        <v>0.95044802050747579</v>
      </c>
      <c r="D5" s="30">
        <v>49386115</v>
      </c>
      <c r="E5" s="30"/>
      <c r="F5" s="30">
        <v>1.0404137213650808</v>
      </c>
      <c r="G5" s="30">
        <v>43057268</v>
      </c>
      <c r="H5" s="30"/>
      <c r="I5" s="30">
        <v>0.99475658201594286</v>
      </c>
      <c r="J5" s="30">
        <v>47066523</v>
      </c>
      <c r="K5" s="30"/>
      <c r="L5" s="30">
        <v>0.87508945073800859</v>
      </c>
      <c r="M5" s="30">
        <v>41331353</v>
      </c>
      <c r="N5" s="30"/>
      <c r="O5" s="30"/>
      <c r="P5" s="30">
        <v>0.92367405582731232</v>
      </c>
      <c r="Q5" s="30">
        <v>39567799</v>
      </c>
      <c r="R5" s="30"/>
      <c r="S5" s="30"/>
      <c r="T5" s="30">
        <v>0.9594063474438872</v>
      </c>
      <c r="U5" s="30">
        <v>36361609</v>
      </c>
      <c r="V5" s="30"/>
      <c r="W5" s="30"/>
      <c r="X5" s="30">
        <v>1.0632124401722867</v>
      </c>
      <c r="Y5" s="30">
        <v>37400834</v>
      </c>
      <c r="Z5" s="30"/>
      <c r="AA5" s="30"/>
      <c r="AB5" s="30">
        <v>1.020876636391522</v>
      </c>
      <c r="AC5" s="30">
        <v>39937067</v>
      </c>
      <c r="AD5" s="30"/>
      <c r="AE5" s="30"/>
      <c r="AF5" s="30">
        <v>0.98548125565095146</v>
      </c>
      <c r="AG5" s="30">
        <v>40616854</v>
      </c>
      <c r="AH5" s="30"/>
      <c r="AI5" s="30"/>
      <c r="AJ5" s="30">
        <v>1.041290122331038</v>
      </c>
      <c r="AK5" s="30">
        <v>43128388</v>
      </c>
      <c r="AL5" s="30"/>
      <c r="AM5" s="30"/>
      <c r="AN5" s="30">
        <v>1.0590891118640426</v>
      </c>
      <c r="AO5" s="30">
        <v>46837242</v>
      </c>
      <c r="AP5" s="30"/>
      <c r="AQ5" s="30"/>
      <c r="AR5" s="30">
        <v>1.1743486238048786</v>
      </c>
      <c r="AS5" s="30">
        <v>49793313</v>
      </c>
      <c r="AU5" s="19"/>
    </row>
    <row r="6" spans="1:47" ht="22.5" customHeight="1" x14ac:dyDescent="0.25">
      <c r="A6" s="69"/>
      <c r="B6" s="32" t="s">
        <v>15</v>
      </c>
      <c r="C6" s="32">
        <v>1.051729805572259</v>
      </c>
      <c r="D6" s="30">
        <v>734118</v>
      </c>
      <c r="E6" s="30"/>
      <c r="F6" s="30">
        <v>1.0639212666854707</v>
      </c>
      <c r="G6" s="30">
        <v>573612</v>
      </c>
      <c r="H6" s="30"/>
      <c r="I6" s="30">
        <v>0.92019030968315152</v>
      </c>
      <c r="J6" s="30">
        <v>494993</v>
      </c>
      <c r="K6" s="30"/>
      <c r="L6" s="30">
        <v>0.58859586555742094</v>
      </c>
      <c r="M6" s="30">
        <v>504054</v>
      </c>
      <c r="N6" s="30"/>
      <c r="O6" s="30"/>
      <c r="P6" s="30">
        <v>0.9105802914686677</v>
      </c>
      <c r="Q6" s="30">
        <v>453183</v>
      </c>
      <c r="R6" s="30"/>
      <c r="S6" s="30"/>
      <c r="T6" s="30">
        <v>1.0527528533903625</v>
      </c>
      <c r="U6" s="30">
        <v>233518</v>
      </c>
      <c r="V6" s="30"/>
      <c r="W6" s="30"/>
      <c r="X6" s="30">
        <v>1.0131849508841948</v>
      </c>
      <c r="Y6" s="30">
        <v>215993</v>
      </c>
      <c r="Z6" s="30"/>
      <c r="AA6" s="30"/>
      <c r="AB6" s="30">
        <v>0.85259777053753361</v>
      </c>
      <c r="AC6" s="30">
        <v>196214</v>
      </c>
      <c r="AD6" s="30"/>
      <c r="AE6" s="30"/>
      <c r="AF6" s="30">
        <v>1.048463934819075</v>
      </c>
      <c r="AG6" s="30">
        <v>224329</v>
      </c>
      <c r="AH6" s="30"/>
      <c r="AI6" s="30"/>
      <c r="AJ6" s="30">
        <v>1.4773315292418245</v>
      </c>
      <c r="AK6" s="30">
        <v>268367</v>
      </c>
      <c r="AL6" s="30"/>
      <c r="AM6" s="30"/>
      <c r="AN6" s="30">
        <v>1.1550922487911943</v>
      </c>
      <c r="AO6" s="30">
        <v>319086</v>
      </c>
      <c r="AP6" s="30"/>
      <c r="AQ6" s="30"/>
      <c r="AR6" s="30">
        <v>1.2900434137377423</v>
      </c>
      <c r="AS6" s="30">
        <v>275717</v>
      </c>
      <c r="AU6" s="19"/>
    </row>
    <row r="7" spans="1:47" ht="22.5" customHeight="1" x14ac:dyDescent="0.25">
      <c r="A7" s="69"/>
      <c r="B7" s="32" t="s">
        <v>16</v>
      </c>
      <c r="C7" s="32">
        <v>0.9918337076509397</v>
      </c>
      <c r="D7" s="30">
        <f>2601442+67308</f>
        <v>2668750</v>
      </c>
      <c r="E7" s="30"/>
      <c r="F7" s="30">
        <v>1.1361875294180839</v>
      </c>
      <c r="G7" s="30">
        <f>2317847+68480</f>
        <v>2386327</v>
      </c>
      <c r="H7" s="30"/>
      <c r="I7" s="30">
        <v>0.68733687308881819</v>
      </c>
      <c r="J7" s="30">
        <f>2144845+55293</f>
        <v>2200138</v>
      </c>
      <c r="K7" s="30"/>
      <c r="L7" s="30">
        <v>0.84647549803482913</v>
      </c>
      <c r="M7" s="30">
        <f>1825896+53987</f>
        <v>1879883</v>
      </c>
      <c r="N7" s="30"/>
      <c r="O7" s="30"/>
      <c r="P7" s="30">
        <v>0.75227869368615685</v>
      </c>
      <c r="Q7" s="30">
        <f>1680605+39856</f>
        <v>1720461</v>
      </c>
      <c r="R7" s="30"/>
      <c r="S7" s="30"/>
      <c r="T7" s="30">
        <v>0.94157552794845689</v>
      </c>
      <c r="U7" s="30">
        <f>1164393+19751</f>
        <v>1184144</v>
      </c>
      <c r="V7" s="30"/>
      <c r="W7" s="30"/>
      <c r="X7" s="30">
        <v>0.87614739481097936</v>
      </c>
      <c r="Y7" s="30">
        <f>1124871+14862</f>
        <v>1139733</v>
      </c>
      <c r="Z7" s="30"/>
      <c r="AA7" s="30"/>
      <c r="AB7" s="30">
        <v>1.0012541409909437</v>
      </c>
      <c r="AC7" s="30">
        <f>1243838+12942</f>
        <v>1256780</v>
      </c>
      <c r="AD7" s="30"/>
      <c r="AE7" s="30"/>
      <c r="AF7" s="30">
        <v>1.3142264777488151</v>
      </c>
      <c r="AG7" s="30">
        <f>1380749+28035</f>
        <v>1408784</v>
      </c>
      <c r="AH7" s="30"/>
      <c r="AI7" s="30"/>
      <c r="AJ7" s="30">
        <v>1.0673463509789418</v>
      </c>
      <c r="AK7" s="30">
        <f>1714835+43343</f>
        <v>1758178</v>
      </c>
      <c r="AL7" s="30"/>
      <c r="AM7" s="30"/>
      <c r="AN7" s="30">
        <v>1.3265830672170731</v>
      </c>
      <c r="AO7" s="30">
        <f>2153755+65197</f>
        <v>2218952</v>
      </c>
      <c r="AP7" s="30"/>
      <c r="AQ7" s="30"/>
      <c r="AR7" s="30">
        <v>1.1281866833343812</v>
      </c>
      <c r="AS7" s="30">
        <f>2679309+64901</f>
        <v>2744210</v>
      </c>
      <c r="AU7" s="19"/>
    </row>
    <row r="8" spans="1:47" ht="22.5" customHeight="1" x14ac:dyDescent="0.25">
      <c r="A8" s="69"/>
      <c r="B8" s="32" t="s">
        <v>17</v>
      </c>
      <c r="C8" s="32">
        <v>0.96409800141696733</v>
      </c>
      <c r="D8" s="30">
        <f>343547+4464</f>
        <v>348011</v>
      </c>
      <c r="E8" s="30"/>
      <c r="F8" s="30">
        <v>1.1791679484112065</v>
      </c>
      <c r="G8" s="30">
        <f>334984+4032</f>
        <v>339016</v>
      </c>
      <c r="H8" s="30"/>
      <c r="I8" s="30">
        <v>0.83621466374547992</v>
      </c>
      <c r="J8" s="30">
        <f>287358+4464</f>
        <v>291822</v>
      </c>
      <c r="K8" s="30"/>
      <c r="L8" s="30">
        <v>0.77611198733614106</v>
      </c>
      <c r="M8" s="30">
        <f>259786+4320</f>
        <v>264106</v>
      </c>
      <c r="N8" s="30"/>
      <c r="O8" s="30"/>
      <c r="P8" s="30">
        <v>0.79935684616415315</v>
      </c>
      <c r="Q8" s="30">
        <f>241547+4464</f>
        <v>246011</v>
      </c>
      <c r="R8" s="30"/>
      <c r="S8" s="30"/>
      <c r="T8" s="30">
        <v>0.94752477091559262</v>
      </c>
      <c r="U8" s="30">
        <f>216609+4320</f>
        <v>220929</v>
      </c>
      <c r="V8" s="30"/>
      <c r="W8" s="30"/>
      <c r="X8" s="30">
        <v>1.1722129947223068</v>
      </c>
      <c r="Y8" s="30">
        <f>201320+4464</f>
        <v>205784</v>
      </c>
      <c r="Z8" s="30"/>
      <c r="AA8" s="30"/>
      <c r="AB8" s="30">
        <v>0.9817936388827172</v>
      </c>
      <c r="AC8" s="30">
        <f>223663+4464</f>
        <v>228127</v>
      </c>
      <c r="AD8" s="30"/>
      <c r="AE8" s="30"/>
      <c r="AF8" s="30">
        <v>1.0925576430401367</v>
      </c>
      <c r="AG8" s="30">
        <f>233385+4320</f>
        <v>237705</v>
      </c>
      <c r="AH8" s="30"/>
      <c r="AI8" s="30"/>
      <c r="AJ8" s="30">
        <v>1.0261023851303557</v>
      </c>
      <c r="AK8" s="30">
        <f>249758+4032</f>
        <v>253790</v>
      </c>
      <c r="AL8" s="30"/>
      <c r="AM8" s="30"/>
      <c r="AN8" s="30">
        <v>1.1949755480735538</v>
      </c>
      <c r="AO8" s="30">
        <f>291615+3314</f>
        <v>294929</v>
      </c>
      <c r="AP8" s="30"/>
      <c r="AQ8" s="30"/>
      <c r="AR8" s="30">
        <v>1.0711080229993497</v>
      </c>
      <c r="AS8" s="30">
        <f>326858+3234</f>
        <v>330092</v>
      </c>
      <c r="AU8" s="19"/>
    </row>
    <row r="9" spans="1:47" ht="22.5" customHeight="1" x14ac:dyDescent="0.25">
      <c r="A9" s="69"/>
      <c r="B9" s="70" t="s">
        <v>21</v>
      </c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2"/>
      <c r="AU9" s="19"/>
    </row>
    <row r="10" spans="1:47" ht="22.5" customHeight="1" x14ac:dyDescent="0.25">
      <c r="A10" s="69"/>
      <c r="B10" s="33"/>
      <c r="C10" s="33">
        <v>1.0849387390510219</v>
      </c>
      <c r="D10" s="31">
        <f>675761+1764</f>
        <v>677525</v>
      </c>
      <c r="E10" s="31"/>
      <c r="F10" s="31">
        <v>0.98705731278723985</v>
      </c>
      <c r="G10" s="30">
        <f>602719+1550</f>
        <v>604269</v>
      </c>
      <c r="H10" s="30"/>
      <c r="I10" s="30">
        <v>0.91572958521501779</v>
      </c>
      <c r="J10" s="30">
        <f>525957+2054</f>
        <v>528011</v>
      </c>
      <c r="K10" s="30"/>
      <c r="L10" s="30">
        <v>0.97288791155008281</v>
      </c>
      <c r="M10" s="30">
        <f>625609+1678</f>
        <v>627287</v>
      </c>
      <c r="N10" s="30"/>
      <c r="O10" s="30"/>
      <c r="P10" s="30">
        <v>1.2291455601126304</v>
      </c>
      <c r="Q10" s="30">
        <f>831002+1728</f>
        <v>832730</v>
      </c>
      <c r="R10" s="30"/>
      <c r="S10" s="30"/>
      <c r="T10" s="30">
        <v>1.1313772247454794</v>
      </c>
      <c r="U10" s="30">
        <f>834092+536</f>
        <v>834628</v>
      </c>
      <c r="V10" s="30"/>
      <c r="W10" s="30"/>
      <c r="X10" s="30">
        <v>1.0272106194645803</v>
      </c>
      <c r="Y10" s="30">
        <f>781651+2288</f>
        <v>783939</v>
      </c>
      <c r="Z10" s="30"/>
      <c r="AA10" s="30"/>
      <c r="AB10" s="30">
        <v>1.0050551122176217</v>
      </c>
      <c r="AC10" s="30">
        <f>805113+2465</f>
        <v>807578</v>
      </c>
      <c r="AD10" s="30"/>
      <c r="AE10" s="30"/>
      <c r="AF10" s="30">
        <v>0.99504939653494262</v>
      </c>
      <c r="AG10" s="30">
        <f>835551+2454</f>
        <v>838005</v>
      </c>
      <c r="AH10" s="30"/>
      <c r="AI10" s="30"/>
      <c r="AJ10" s="30">
        <v>0.86434326056946809</v>
      </c>
      <c r="AK10" s="30">
        <f>680525+673</f>
        <v>681198</v>
      </c>
      <c r="AL10" s="30"/>
      <c r="AM10" s="30"/>
      <c r="AN10" s="30">
        <v>0.91574669262021435</v>
      </c>
      <c r="AO10" s="30">
        <f>628189+1324</f>
        <v>629513</v>
      </c>
      <c r="AP10" s="30"/>
      <c r="AQ10" s="30"/>
      <c r="AR10" s="30">
        <v>0.93425916628691041</v>
      </c>
      <c r="AS10" s="30">
        <f>591354+1981</f>
        <v>593335</v>
      </c>
      <c r="AU10" s="19"/>
    </row>
    <row r="11" spans="1:47" ht="22.5" customHeight="1" x14ac:dyDescent="0.25">
      <c r="A11" s="66" t="s">
        <v>18</v>
      </c>
      <c r="B11" s="67"/>
      <c r="C11" s="44"/>
      <c r="D11" s="31">
        <f t="shared" ref="D11:AS11" si="0">SUM(D5:D8,D10)</f>
        <v>53814519</v>
      </c>
      <c r="E11" s="31"/>
      <c r="F11" s="31"/>
      <c r="G11" s="31">
        <f t="shared" si="0"/>
        <v>46960492</v>
      </c>
      <c r="H11" s="31"/>
      <c r="I11" s="31"/>
      <c r="J11" s="31">
        <f t="shared" si="0"/>
        <v>50581487</v>
      </c>
      <c r="K11" s="31"/>
      <c r="L11" s="31"/>
      <c r="M11" s="31">
        <f t="shared" si="0"/>
        <v>44606683</v>
      </c>
      <c r="N11" s="31"/>
      <c r="O11" s="31"/>
      <c r="P11" s="31"/>
      <c r="Q11" s="31">
        <f t="shared" si="0"/>
        <v>42820184</v>
      </c>
      <c r="R11" s="31"/>
      <c r="S11" s="31"/>
      <c r="T11" s="31"/>
      <c r="U11" s="31">
        <f t="shared" si="0"/>
        <v>38834828</v>
      </c>
      <c r="V11" s="31"/>
      <c r="W11" s="31"/>
      <c r="X11" s="31"/>
      <c r="Y11" s="31">
        <f t="shared" si="0"/>
        <v>39746283</v>
      </c>
      <c r="Z11" s="31"/>
      <c r="AA11" s="31"/>
      <c r="AB11" s="31"/>
      <c r="AC11" s="31">
        <f t="shared" si="0"/>
        <v>42425766</v>
      </c>
      <c r="AD11" s="31"/>
      <c r="AE11" s="31"/>
      <c r="AF11" s="31"/>
      <c r="AG11" s="31">
        <f t="shared" si="0"/>
        <v>43325677</v>
      </c>
      <c r="AH11" s="31"/>
      <c r="AI11" s="31"/>
      <c r="AJ11" s="31"/>
      <c r="AK11" s="31">
        <f t="shared" si="0"/>
        <v>46089921</v>
      </c>
      <c r="AL11" s="31"/>
      <c r="AM11" s="31"/>
      <c r="AN11" s="31"/>
      <c r="AO11" s="31">
        <f t="shared" si="0"/>
        <v>50299722</v>
      </c>
      <c r="AP11" s="31"/>
      <c r="AQ11" s="31"/>
      <c r="AR11" s="31"/>
      <c r="AS11" s="31">
        <f t="shared" si="0"/>
        <v>53736667</v>
      </c>
      <c r="AU11" s="19"/>
    </row>
    <row r="12" spans="1:47" ht="22.5" customHeight="1" x14ac:dyDescent="0.25">
      <c r="A12" s="68" t="s">
        <v>34</v>
      </c>
      <c r="B12" s="32" t="s">
        <v>15</v>
      </c>
      <c r="C12" s="32"/>
      <c r="D12" s="30">
        <v>2725</v>
      </c>
      <c r="E12" s="30"/>
      <c r="F12" s="30">
        <v>0</v>
      </c>
      <c r="G12" s="30">
        <v>3322</v>
      </c>
      <c r="H12" s="30"/>
      <c r="I12" s="30">
        <v>0</v>
      </c>
      <c r="J12" s="30">
        <v>2539</v>
      </c>
      <c r="K12" s="30"/>
      <c r="L12" s="30">
        <v>0</v>
      </c>
      <c r="M12" s="30">
        <v>1552</v>
      </c>
      <c r="N12" s="30"/>
      <c r="O12" s="30"/>
      <c r="P12" s="30">
        <v>0</v>
      </c>
      <c r="Q12" s="30">
        <v>27832</v>
      </c>
      <c r="R12" s="30"/>
      <c r="S12" s="30"/>
      <c r="T12" s="30">
        <v>0</v>
      </c>
      <c r="U12" s="30">
        <v>2978</v>
      </c>
      <c r="V12" s="30"/>
      <c r="W12" s="30"/>
      <c r="X12" s="30">
        <v>0</v>
      </c>
      <c r="Y12" s="30">
        <v>2696</v>
      </c>
      <c r="Z12" s="30"/>
      <c r="AA12" s="30"/>
      <c r="AB12" s="30">
        <v>0</v>
      </c>
      <c r="AC12" s="30">
        <v>2620</v>
      </c>
      <c r="AD12" s="30"/>
      <c r="AE12" s="30"/>
      <c r="AF12" s="30"/>
      <c r="AG12" s="30">
        <v>3243</v>
      </c>
      <c r="AH12" s="30"/>
      <c r="AI12" s="30"/>
      <c r="AJ12" s="30">
        <f>AG12/AC12</f>
        <v>1.2377862595419846</v>
      </c>
      <c r="AK12" s="30">
        <v>4237</v>
      </c>
      <c r="AL12" s="30"/>
      <c r="AM12" s="30"/>
      <c r="AN12" s="30">
        <f>AK12/AG12</f>
        <v>1.3065063213074315</v>
      </c>
      <c r="AO12" s="30">
        <v>6398</v>
      </c>
      <c r="AP12" s="30"/>
      <c r="AQ12" s="30"/>
      <c r="AR12" s="30">
        <v>0.63596991110098022</v>
      </c>
      <c r="AS12" s="30">
        <v>7103</v>
      </c>
      <c r="AU12" s="19"/>
    </row>
    <row r="13" spans="1:47" ht="33.75" customHeight="1" x14ac:dyDescent="0.25">
      <c r="A13" s="69"/>
      <c r="B13" s="32" t="s">
        <v>16</v>
      </c>
      <c r="C13" s="32">
        <v>1.0002559711900012</v>
      </c>
      <c r="D13" s="30">
        <v>111104</v>
      </c>
      <c r="E13" s="30"/>
      <c r="F13" s="30">
        <v>1.0178339789804365</v>
      </c>
      <c r="G13" s="30">
        <v>119848</v>
      </c>
      <c r="H13" s="30"/>
      <c r="I13" s="30">
        <v>0.89262553752254126</v>
      </c>
      <c r="J13" s="30">
        <v>98024</v>
      </c>
      <c r="K13" s="30"/>
      <c r="L13" s="30">
        <v>0.8907817674996843</v>
      </c>
      <c r="M13" s="30">
        <v>85517</v>
      </c>
      <c r="N13" s="30"/>
      <c r="O13" s="30"/>
      <c r="P13" s="30">
        <v>0.79561462808295358</v>
      </c>
      <c r="Q13" s="30">
        <v>69072</v>
      </c>
      <c r="R13" s="30"/>
      <c r="S13" s="30"/>
      <c r="T13" s="30">
        <v>1.1511189683290164</v>
      </c>
      <c r="U13" s="30">
        <v>63466</v>
      </c>
      <c r="V13" s="30"/>
      <c r="W13" s="30"/>
      <c r="X13" s="30">
        <v>0.85844564026858416</v>
      </c>
      <c r="Y13" s="30">
        <v>64586</v>
      </c>
      <c r="Z13" s="30"/>
      <c r="AA13" s="30"/>
      <c r="AB13" s="30">
        <v>1.1527334757163066</v>
      </c>
      <c r="AC13" s="30">
        <v>64578</v>
      </c>
      <c r="AD13" s="30"/>
      <c r="AE13" s="30"/>
      <c r="AF13" s="30">
        <v>0.99256487686329242</v>
      </c>
      <c r="AG13" s="30">
        <v>64656</v>
      </c>
      <c r="AH13" s="30"/>
      <c r="AI13" s="30"/>
      <c r="AJ13" s="30">
        <v>1.2061671979733579</v>
      </c>
      <c r="AK13" s="30">
        <v>71806</v>
      </c>
      <c r="AL13" s="30"/>
      <c r="AM13" s="30"/>
      <c r="AN13" s="30">
        <v>1.1058989046327001</v>
      </c>
      <c r="AO13" s="30">
        <v>82558</v>
      </c>
      <c r="AP13" s="30"/>
      <c r="AQ13" s="30"/>
      <c r="AR13" s="30">
        <v>0.92574149462052924</v>
      </c>
      <c r="AS13" s="30">
        <v>90270</v>
      </c>
      <c r="AU13" s="19"/>
    </row>
    <row r="14" spans="1:47" ht="33.75" customHeight="1" x14ac:dyDescent="0.25">
      <c r="A14" s="69"/>
      <c r="B14" s="32" t="s">
        <v>17</v>
      </c>
      <c r="C14" s="32">
        <v>0.97799962711232391</v>
      </c>
      <c r="D14" s="30">
        <v>55183</v>
      </c>
      <c r="E14" s="30"/>
      <c r="F14" s="30">
        <v>0.98407306632467373</v>
      </c>
      <c r="G14" s="30">
        <v>49391</v>
      </c>
      <c r="H14" s="30"/>
      <c r="I14" s="30">
        <v>0.895195660596668</v>
      </c>
      <c r="J14" s="30">
        <v>46854</v>
      </c>
      <c r="K14" s="30"/>
      <c r="L14" s="30">
        <v>0.77602250595109279</v>
      </c>
      <c r="M14" s="30">
        <v>39120</v>
      </c>
      <c r="N14" s="30"/>
      <c r="O14" s="30"/>
      <c r="P14" s="30">
        <v>0.8925619834710744</v>
      </c>
      <c r="Q14" s="30">
        <v>43983</v>
      </c>
      <c r="R14" s="30"/>
      <c r="S14" s="30"/>
      <c r="T14" s="30">
        <v>1.0469211542831174</v>
      </c>
      <c r="U14" s="30">
        <v>37661</v>
      </c>
      <c r="V14" s="30"/>
      <c r="W14" s="30"/>
      <c r="X14" s="30">
        <v>1.0787032013022246</v>
      </c>
      <c r="Y14" s="30">
        <v>37591</v>
      </c>
      <c r="Z14" s="30"/>
      <c r="AA14" s="30"/>
      <c r="AB14" s="30">
        <v>1.0141596036316993</v>
      </c>
      <c r="AC14" s="30">
        <v>40820</v>
      </c>
      <c r="AD14" s="30"/>
      <c r="AE14" s="30"/>
      <c r="AF14" s="30">
        <v>0.95067453625632381</v>
      </c>
      <c r="AG14" s="30">
        <v>39726</v>
      </c>
      <c r="AH14" s="30"/>
      <c r="AI14" s="30"/>
      <c r="AJ14" s="30">
        <v>1.0177644450241294</v>
      </c>
      <c r="AK14" s="30">
        <v>38759</v>
      </c>
      <c r="AL14" s="30"/>
      <c r="AM14" s="30"/>
      <c r="AN14" s="30">
        <v>1.0746873077711707</v>
      </c>
      <c r="AO14" s="30">
        <v>57220</v>
      </c>
      <c r="AP14" s="30"/>
      <c r="AQ14" s="30"/>
      <c r="AR14" s="30">
        <v>1.1927259718578582</v>
      </c>
      <c r="AS14" s="30">
        <v>59743</v>
      </c>
      <c r="AU14" s="19"/>
    </row>
    <row r="15" spans="1:47" ht="33.75" customHeight="1" x14ac:dyDescent="0.25">
      <c r="A15" s="76"/>
      <c r="B15" s="70" t="s">
        <v>21</v>
      </c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2"/>
      <c r="AU15" s="19"/>
    </row>
    <row r="16" spans="1:47" ht="22.5" customHeight="1" x14ac:dyDescent="0.25">
      <c r="A16" s="43"/>
      <c r="B16" s="44"/>
      <c r="C16" s="44">
        <v>1.1530464684649806</v>
      </c>
      <c r="D16" s="30">
        <v>97974</v>
      </c>
      <c r="E16" s="30"/>
      <c r="F16" s="30">
        <v>0.8844900458208248</v>
      </c>
      <c r="G16" s="30">
        <v>87928</v>
      </c>
      <c r="H16" s="30"/>
      <c r="I16" s="30">
        <v>0.92177922672412826</v>
      </c>
      <c r="J16" s="30">
        <v>82455</v>
      </c>
      <c r="K16" s="30"/>
      <c r="L16" s="30">
        <v>0.94131611777958113</v>
      </c>
      <c r="M16" s="30">
        <v>90581</v>
      </c>
      <c r="N16" s="30"/>
      <c r="O16" s="30"/>
      <c r="P16" s="30">
        <v>1.0336224200936743</v>
      </c>
      <c r="Q16" s="30">
        <v>84917</v>
      </c>
      <c r="R16" s="30"/>
      <c r="S16" s="30"/>
      <c r="T16" s="30">
        <v>0.90665886541597684</v>
      </c>
      <c r="U16" s="30">
        <v>83936</v>
      </c>
      <c r="V16" s="30"/>
      <c r="W16" s="30"/>
      <c r="X16" s="30">
        <v>0.97969271326770191</v>
      </c>
      <c r="Y16" s="30">
        <v>79014</v>
      </c>
      <c r="Z16" s="30"/>
      <c r="AA16" s="30"/>
      <c r="AB16" s="30">
        <v>1.0416246215943492</v>
      </c>
      <c r="AC16" s="30">
        <v>81516</v>
      </c>
      <c r="AD16" s="30"/>
      <c r="AE16" s="30"/>
      <c r="AF16" s="30">
        <v>1.0363822286806059</v>
      </c>
      <c r="AG16" s="30">
        <v>88035</v>
      </c>
      <c r="AH16" s="30"/>
      <c r="AI16" s="30"/>
      <c r="AJ16" s="30">
        <v>1.1043154259600654</v>
      </c>
      <c r="AK16" s="30">
        <v>85695</v>
      </c>
      <c r="AL16" s="30"/>
      <c r="AM16" s="30"/>
      <c r="AN16" s="30">
        <v>1.0292495973477858</v>
      </c>
      <c r="AO16" s="30">
        <v>92497</v>
      </c>
      <c r="AP16" s="30"/>
      <c r="AQ16" s="30"/>
      <c r="AR16" s="30">
        <v>1.0004797313504437</v>
      </c>
      <c r="AS16" s="30">
        <v>87453</v>
      </c>
      <c r="AU16" s="19"/>
    </row>
    <row r="17" spans="1:47" ht="22.5" customHeight="1" x14ac:dyDescent="0.25">
      <c r="A17" s="66" t="s">
        <v>18</v>
      </c>
      <c r="B17" s="67"/>
      <c r="C17" s="44"/>
      <c r="D17" s="31">
        <f>SUM(D12:D14,D16)</f>
        <v>266986</v>
      </c>
      <c r="E17" s="31"/>
      <c r="F17" s="31"/>
      <c r="G17" s="31">
        <f t="shared" ref="G17:AS17" si="1">SUM(G12:G14,G16)</f>
        <v>260489</v>
      </c>
      <c r="H17" s="31"/>
      <c r="I17" s="31"/>
      <c r="J17" s="31">
        <f t="shared" si="1"/>
        <v>229872</v>
      </c>
      <c r="K17" s="31"/>
      <c r="L17" s="31"/>
      <c r="M17" s="31">
        <f t="shared" si="1"/>
        <v>216770</v>
      </c>
      <c r="N17" s="31"/>
      <c r="O17" s="31"/>
      <c r="P17" s="31"/>
      <c r="Q17" s="31">
        <f t="shared" si="1"/>
        <v>225804</v>
      </c>
      <c r="R17" s="31"/>
      <c r="S17" s="31"/>
      <c r="T17" s="31"/>
      <c r="U17" s="31">
        <f t="shared" si="1"/>
        <v>188041</v>
      </c>
      <c r="V17" s="31"/>
      <c r="W17" s="31"/>
      <c r="X17" s="31"/>
      <c r="Y17" s="31">
        <f t="shared" si="1"/>
        <v>183887</v>
      </c>
      <c r="Z17" s="31"/>
      <c r="AA17" s="31"/>
      <c r="AB17" s="31"/>
      <c r="AC17" s="31">
        <f t="shared" si="1"/>
        <v>189534</v>
      </c>
      <c r="AD17" s="31"/>
      <c r="AE17" s="31"/>
      <c r="AF17" s="31"/>
      <c r="AG17" s="31">
        <f t="shared" si="1"/>
        <v>195660</v>
      </c>
      <c r="AH17" s="31"/>
      <c r="AI17" s="31"/>
      <c r="AJ17" s="31"/>
      <c r="AK17" s="31">
        <f t="shared" si="1"/>
        <v>200497</v>
      </c>
      <c r="AL17" s="31"/>
      <c r="AM17" s="31"/>
      <c r="AN17" s="31"/>
      <c r="AO17" s="31">
        <f t="shared" si="1"/>
        <v>238673</v>
      </c>
      <c r="AP17" s="31"/>
      <c r="AQ17" s="31"/>
      <c r="AR17" s="31"/>
      <c r="AS17" s="31">
        <f t="shared" si="1"/>
        <v>244569</v>
      </c>
      <c r="AU17" s="19"/>
    </row>
    <row r="18" spans="1:47" s="10" customFormat="1" ht="22.5" customHeight="1" x14ac:dyDescent="0.25">
      <c r="A18" s="66" t="s">
        <v>19</v>
      </c>
      <c r="B18" s="67"/>
      <c r="C18" s="44"/>
      <c r="D18" s="31">
        <f>D11+D17</f>
        <v>54081505</v>
      </c>
      <c r="E18" s="31"/>
      <c r="F18" s="31"/>
      <c r="G18" s="31">
        <f t="shared" ref="G18:AS18" si="2">G11+G17</f>
        <v>47220981</v>
      </c>
      <c r="H18" s="31"/>
      <c r="I18" s="31"/>
      <c r="J18" s="31">
        <f t="shared" si="2"/>
        <v>50811359</v>
      </c>
      <c r="K18" s="31"/>
      <c r="L18" s="31"/>
      <c r="M18" s="31">
        <f t="shared" si="2"/>
        <v>44823453</v>
      </c>
      <c r="N18" s="31"/>
      <c r="O18" s="31"/>
      <c r="P18" s="31"/>
      <c r="Q18" s="31">
        <f t="shared" si="2"/>
        <v>43045988</v>
      </c>
      <c r="R18" s="31"/>
      <c r="S18" s="31"/>
      <c r="T18" s="31"/>
      <c r="U18" s="31">
        <f t="shared" si="2"/>
        <v>39022869</v>
      </c>
      <c r="V18" s="31"/>
      <c r="W18" s="31"/>
      <c r="X18" s="31"/>
      <c r="Y18" s="31">
        <f t="shared" si="2"/>
        <v>39930170</v>
      </c>
      <c r="Z18" s="31"/>
      <c r="AA18" s="31"/>
      <c r="AB18" s="31"/>
      <c r="AC18" s="31">
        <f t="shared" si="2"/>
        <v>42615300</v>
      </c>
      <c r="AD18" s="31"/>
      <c r="AE18" s="31"/>
      <c r="AF18" s="31"/>
      <c r="AG18" s="31">
        <f t="shared" si="2"/>
        <v>43521337</v>
      </c>
      <c r="AH18" s="31"/>
      <c r="AI18" s="31"/>
      <c r="AJ18" s="31"/>
      <c r="AK18" s="31">
        <f t="shared" si="2"/>
        <v>46290418</v>
      </c>
      <c r="AL18" s="31"/>
      <c r="AM18" s="31"/>
      <c r="AN18" s="31"/>
      <c r="AO18" s="31">
        <f t="shared" si="2"/>
        <v>50538395</v>
      </c>
      <c r="AP18" s="31"/>
      <c r="AQ18" s="31"/>
      <c r="AR18" s="31"/>
      <c r="AS18" s="31">
        <f t="shared" si="2"/>
        <v>53981236</v>
      </c>
      <c r="AT18" s="29"/>
      <c r="AU18" s="19"/>
    </row>
    <row r="19" spans="1:47" ht="22.5" customHeight="1" x14ac:dyDescent="0.25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</row>
    <row r="20" spans="1:47" ht="22.5" customHeight="1" x14ac:dyDescent="0.25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7"/>
      <c r="R20" s="37"/>
      <c r="S20" s="37"/>
      <c r="T20" s="37"/>
      <c r="U20" s="37"/>
      <c r="V20" s="37"/>
      <c r="W20" s="37"/>
      <c r="X20" s="37"/>
      <c r="Y20" s="38"/>
      <c r="Z20" s="38"/>
      <c r="AA20" s="38"/>
      <c r="AB20" s="38"/>
      <c r="AC20" s="39"/>
      <c r="AD20" s="39"/>
      <c r="AE20" s="39"/>
      <c r="AF20" s="39"/>
      <c r="AG20" s="37"/>
      <c r="AH20" s="37"/>
      <c r="AI20" s="37"/>
      <c r="AJ20" s="37"/>
      <c r="AK20" s="37"/>
      <c r="AL20" s="37"/>
      <c r="AM20" s="37"/>
      <c r="AN20" s="37"/>
      <c r="AO20" s="36"/>
      <c r="AP20" s="36"/>
      <c r="AQ20" s="36"/>
      <c r="AR20" s="36"/>
      <c r="AS20" s="36"/>
    </row>
    <row r="21" spans="1:47" ht="22.5" customHeight="1" x14ac:dyDescent="0.25">
      <c r="A21" s="36"/>
      <c r="B21" s="36"/>
      <c r="C21" s="36"/>
      <c r="D21" s="36"/>
      <c r="E21" s="36"/>
      <c r="F21" s="36"/>
      <c r="G21" s="36"/>
      <c r="H21" s="36"/>
      <c r="I21" s="36"/>
      <c r="J21" s="40"/>
      <c r="K21" s="40"/>
      <c r="L21" s="40"/>
      <c r="M21" s="36"/>
      <c r="N21" s="36"/>
      <c r="O21" s="36"/>
      <c r="P21" s="36"/>
      <c r="Q21" s="37"/>
      <c r="R21" s="37"/>
      <c r="S21" s="37"/>
      <c r="T21" s="37"/>
      <c r="U21" s="37"/>
      <c r="V21" s="37"/>
      <c r="W21" s="37"/>
      <c r="X21" s="37"/>
      <c r="Y21" s="38"/>
      <c r="Z21" s="38"/>
      <c r="AA21" s="38"/>
      <c r="AB21" s="38"/>
      <c r="AC21" s="39"/>
      <c r="AD21" s="39"/>
      <c r="AE21" s="39"/>
      <c r="AF21" s="39"/>
      <c r="AG21" s="37"/>
      <c r="AH21" s="37"/>
      <c r="AI21" s="37"/>
      <c r="AJ21" s="37"/>
      <c r="AK21" s="37"/>
      <c r="AL21" s="37"/>
      <c r="AM21" s="37"/>
      <c r="AN21" s="37"/>
      <c r="AO21" s="36"/>
      <c r="AP21" s="36"/>
      <c r="AQ21" s="36"/>
      <c r="AR21" s="36"/>
      <c r="AS21" s="36"/>
    </row>
    <row r="22" spans="1:47" ht="22.5" customHeight="1" x14ac:dyDescent="0.25">
      <c r="Q22" s="20"/>
      <c r="R22" s="20"/>
      <c r="S22" s="20"/>
      <c r="T22" s="20"/>
      <c r="U22" s="20"/>
      <c r="V22" s="20"/>
      <c r="W22" s="20"/>
      <c r="X22" s="20"/>
      <c r="Y22" s="21"/>
      <c r="Z22" s="21"/>
      <c r="AA22" s="21"/>
      <c r="AB22" s="21"/>
      <c r="AC22" s="22"/>
      <c r="AD22" s="22"/>
      <c r="AE22" s="22"/>
      <c r="AF22" s="22"/>
      <c r="AG22" s="20"/>
      <c r="AH22" s="20"/>
      <c r="AI22" s="20"/>
      <c r="AJ22" s="20"/>
      <c r="AK22" s="20"/>
      <c r="AL22" s="20"/>
      <c r="AM22" s="20"/>
      <c r="AN22" s="20"/>
    </row>
    <row r="23" spans="1:47" ht="22.5" customHeight="1" x14ac:dyDescent="0.25">
      <c r="Q23" s="20"/>
      <c r="R23" s="20"/>
      <c r="S23" s="20"/>
      <c r="T23" s="20"/>
      <c r="U23" s="20"/>
      <c r="V23" s="20"/>
      <c r="W23" s="20"/>
      <c r="X23" s="20"/>
      <c r="Y23" s="21"/>
      <c r="Z23" s="21"/>
      <c r="AA23" s="21"/>
      <c r="AB23" s="21"/>
      <c r="AC23" s="22"/>
      <c r="AD23" s="22"/>
      <c r="AE23" s="22"/>
      <c r="AF23" s="22"/>
      <c r="AG23" s="20"/>
      <c r="AH23" s="20"/>
      <c r="AI23" s="20"/>
      <c r="AJ23" s="20"/>
      <c r="AK23" s="20"/>
      <c r="AL23" s="20"/>
      <c r="AM23" s="20"/>
      <c r="AN23" s="20"/>
    </row>
    <row r="24" spans="1:47" ht="22.5" customHeight="1" x14ac:dyDescent="0.25">
      <c r="Q24" s="20"/>
      <c r="R24" s="20"/>
      <c r="S24" s="20"/>
      <c r="T24" s="20"/>
      <c r="U24" s="20"/>
      <c r="V24" s="20"/>
      <c r="W24" s="20"/>
      <c r="X24" s="20"/>
      <c r="Y24" s="21"/>
      <c r="Z24" s="21"/>
      <c r="AA24" s="21"/>
      <c r="AB24" s="21"/>
      <c r="AC24" s="22"/>
      <c r="AD24" s="22"/>
      <c r="AE24" s="22"/>
      <c r="AF24" s="22"/>
      <c r="AG24" s="20"/>
      <c r="AH24" s="20"/>
      <c r="AI24" s="20"/>
      <c r="AJ24" s="20"/>
      <c r="AK24" s="20"/>
      <c r="AL24" s="20"/>
      <c r="AM24" s="20"/>
      <c r="AN24" s="20"/>
    </row>
    <row r="25" spans="1:47" ht="22.5" customHeight="1" x14ac:dyDescent="0.25"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</row>
    <row r="26" spans="1:47" ht="22.5" customHeight="1" x14ac:dyDescent="0.25"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</row>
    <row r="27" spans="1:47" ht="22.5" customHeight="1" x14ac:dyDescent="0.25"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</row>
    <row r="28" spans="1:47" ht="22.5" customHeight="1" x14ac:dyDescent="0.25"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</row>
    <row r="29" spans="1:47" ht="22.5" customHeight="1" x14ac:dyDescent="0.25"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</row>
    <row r="30" spans="1:47" ht="22.5" customHeight="1" x14ac:dyDescent="0.25"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</row>
    <row r="31" spans="1:47" ht="22.5" customHeight="1" x14ac:dyDescent="0.25"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</row>
    <row r="32" spans="1:47" ht="22.5" customHeight="1" x14ac:dyDescent="0.25"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</row>
    <row r="33" spans="17:40" ht="22.5" customHeight="1" x14ac:dyDescent="0.25"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</row>
    <row r="34" spans="17:40" ht="22.5" customHeight="1" x14ac:dyDescent="0.25"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</row>
  </sheetData>
  <mergeCells count="9">
    <mergeCell ref="A17:B17"/>
    <mergeCell ref="A18:B18"/>
    <mergeCell ref="A2:AS2"/>
    <mergeCell ref="A4:A10"/>
    <mergeCell ref="B4:AS4"/>
    <mergeCell ref="B9:AS9"/>
    <mergeCell ref="A11:B11"/>
    <mergeCell ref="A12:A15"/>
    <mergeCell ref="B15:AS1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5"/>
  <sheetViews>
    <sheetView topLeftCell="D4" zoomScale="85" zoomScaleNormal="85" workbookViewId="0">
      <selection activeCell="I5" sqref="I5"/>
    </sheetView>
  </sheetViews>
  <sheetFormatPr defaultColWidth="9.140625" defaultRowHeight="15" x14ac:dyDescent="0.25"/>
  <cols>
    <col min="1" max="1" width="30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4" width="24.28515625" style="1" customWidth="1"/>
    <col min="15" max="15" width="9.140625" style="1"/>
    <col min="16" max="16" width="10.7109375" style="1" bestFit="1" customWidth="1"/>
    <col min="17" max="16384" width="9.140625" style="1"/>
  </cols>
  <sheetData>
    <row r="2" spans="1:16" ht="42.75" customHeight="1" x14ac:dyDescent="0.25">
      <c r="A2" s="54" t="s">
        <v>38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spans="1:16" s="5" customFormat="1" ht="33" customHeight="1" x14ac:dyDescent="0.25">
      <c r="A3" s="2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</row>
    <row r="4" spans="1:16" ht="22.5" customHeight="1" x14ac:dyDescent="0.25">
      <c r="A4" s="68" t="s">
        <v>36</v>
      </c>
      <c r="B4" s="70" t="s">
        <v>20</v>
      </c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2"/>
    </row>
    <row r="5" spans="1:16" ht="22.5" customHeight="1" x14ac:dyDescent="0.25">
      <c r="A5" s="69"/>
      <c r="B5" s="47" t="s">
        <v>39</v>
      </c>
      <c r="C5" s="30"/>
      <c r="D5" s="30"/>
      <c r="E5" s="30"/>
      <c r="F5" s="30"/>
      <c r="G5" s="30"/>
      <c r="H5" s="30"/>
      <c r="I5" s="30">
        <v>109252</v>
      </c>
      <c r="J5" s="30">
        <v>102478</v>
      </c>
      <c r="K5" s="30">
        <v>109003</v>
      </c>
      <c r="L5" s="30">
        <v>184120</v>
      </c>
      <c r="M5" s="30">
        <v>197497</v>
      </c>
      <c r="N5" s="30">
        <v>306466</v>
      </c>
    </row>
    <row r="6" spans="1:16" ht="22.5" customHeight="1" x14ac:dyDescent="0.25">
      <c r="A6" s="69"/>
      <c r="B6" s="48" t="s">
        <v>14</v>
      </c>
      <c r="C6" s="30">
        <v>49504291</v>
      </c>
      <c r="D6" s="30">
        <v>44271343</v>
      </c>
      <c r="E6" s="30">
        <v>47318320</v>
      </c>
      <c r="F6" s="30">
        <v>41106585.999999978</v>
      </c>
      <c r="G6" s="30">
        <v>37661615</v>
      </c>
      <c r="H6" s="30">
        <v>36001810.00000003</v>
      </c>
      <c r="I6" s="30">
        <v>38485124.999999985</v>
      </c>
      <c r="J6" s="30">
        <v>40253962</v>
      </c>
      <c r="K6" s="30">
        <v>38926435</v>
      </c>
      <c r="L6" s="30">
        <v>44058218.000000015</v>
      </c>
      <c r="M6" s="30">
        <v>46682833</v>
      </c>
      <c r="N6" s="30">
        <f>44037678+7165365</f>
        <v>51203043</v>
      </c>
      <c r="P6" s="19"/>
    </row>
    <row r="7" spans="1:16" ht="22.5" customHeight="1" x14ac:dyDescent="0.25">
      <c r="A7" s="69"/>
      <c r="B7" s="48" t="s">
        <v>15</v>
      </c>
      <c r="C7" s="30">
        <v>334550</v>
      </c>
      <c r="D7" s="30">
        <v>309889</v>
      </c>
      <c r="E7" s="30">
        <v>280386</v>
      </c>
      <c r="F7" s="30">
        <v>196816</v>
      </c>
      <c r="G7" s="30">
        <v>175164</v>
      </c>
      <c r="H7" s="30">
        <v>154611</v>
      </c>
      <c r="I7" s="30">
        <v>137291</v>
      </c>
      <c r="J7" s="30">
        <v>138083</v>
      </c>
      <c r="K7" s="30">
        <v>165851</v>
      </c>
      <c r="L7" s="30">
        <v>195215</v>
      </c>
      <c r="M7" s="30">
        <v>232647</v>
      </c>
      <c r="N7" s="30">
        <f>166581+128285</f>
        <v>294866</v>
      </c>
      <c r="P7" s="19"/>
    </row>
    <row r="8" spans="1:16" ht="22.5" customHeight="1" x14ac:dyDescent="0.25">
      <c r="A8" s="69"/>
      <c r="B8" s="48" t="s">
        <v>16</v>
      </c>
      <c r="C8" s="30">
        <f>2561752+68686</f>
        <v>2630438</v>
      </c>
      <c r="D8" s="30">
        <f>2173364+45793+78741</f>
        <v>2297898</v>
      </c>
      <c r="E8" s="30">
        <f>1963804+47110</f>
        <v>2010914</v>
      </c>
      <c r="F8" s="30">
        <v>1741206</v>
      </c>
      <c r="G8" s="30">
        <f>1473346+23503</f>
        <v>1496849</v>
      </c>
      <c r="H8" s="30">
        <v>1258318</v>
      </c>
      <c r="I8" s="30">
        <v>1233427</v>
      </c>
      <c r="J8" s="30">
        <f>1309720+18312</f>
        <v>1328032</v>
      </c>
      <c r="K8" s="30">
        <v>1323025</v>
      </c>
      <c r="L8" s="30">
        <v>1834841</v>
      </c>
      <c r="M8" s="30">
        <v>1643789</v>
      </c>
      <c r="N8" s="30">
        <f>2259119+205083+41700+63239</f>
        <v>2569141</v>
      </c>
      <c r="P8" s="19"/>
    </row>
    <row r="9" spans="1:16" ht="22.5" customHeight="1" x14ac:dyDescent="0.25">
      <c r="A9" s="69"/>
      <c r="B9" s="32" t="s">
        <v>17</v>
      </c>
      <c r="C9" s="30">
        <f>348141+4336</f>
        <v>352477</v>
      </c>
      <c r="D9" s="30">
        <f>303541+641+3259</f>
        <v>307441</v>
      </c>
      <c r="E9" s="30">
        <v>316703</v>
      </c>
      <c r="F9" s="30">
        <v>246025</v>
      </c>
      <c r="G9" s="30">
        <f>223093+3250</f>
        <v>226343</v>
      </c>
      <c r="H9" s="30">
        <v>201834</v>
      </c>
      <c r="I9" s="30">
        <v>206796</v>
      </c>
      <c r="J9" s="30">
        <f>239438+18</f>
        <v>239456</v>
      </c>
      <c r="K9" s="30">
        <v>223713</v>
      </c>
      <c r="L9" s="30">
        <v>287759</v>
      </c>
      <c r="M9" s="30">
        <v>339893</v>
      </c>
      <c r="N9" s="30">
        <f>382029+8532+844+2515</f>
        <v>393920</v>
      </c>
      <c r="P9" s="19"/>
    </row>
    <row r="10" spans="1:16" ht="22.5" customHeight="1" x14ac:dyDescent="0.25">
      <c r="A10" s="69"/>
      <c r="B10" s="70" t="s">
        <v>21</v>
      </c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2"/>
      <c r="P10" s="19"/>
    </row>
    <row r="11" spans="1:16" ht="22.5" customHeight="1" x14ac:dyDescent="0.25">
      <c r="A11" s="69"/>
      <c r="B11" s="33"/>
      <c r="C11" s="30">
        <f>692782+2012</f>
        <v>694794</v>
      </c>
      <c r="D11" s="30">
        <f>592625+2247</f>
        <v>594872</v>
      </c>
      <c r="E11" s="30">
        <v>598989</v>
      </c>
      <c r="F11" s="30">
        <v>584824</v>
      </c>
      <c r="G11" s="30">
        <f>771688+631</f>
        <v>772319</v>
      </c>
      <c r="H11" s="30">
        <v>806444</v>
      </c>
      <c r="I11" s="30">
        <v>778441</v>
      </c>
      <c r="J11" s="30">
        <f>796041+1422</f>
        <v>797463</v>
      </c>
      <c r="K11" s="30">
        <v>835783</v>
      </c>
      <c r="L11" s="30">
        <v>714366</v>
      </c>
      <c r="M11" s="30">
        <v>627677</v>
      </c>
      <c r="N11" s="30">
        <f>609787+19672+1637</f>
        <v>631096</v>
      </c>
      <c r="P11" s="19"/>
    </row>
    <row r="12" spans="1:16" ht="22.5" customHeight="1" x14ac:dyDescent="0.25">
      <c r="A12" s="66" t="s">
        <v>18</v>
      </c>
      <c r="B12" s="67"/>
      <c r="C12" s="31">
        <f t="shared" ref="C12:N12" si="0">SUM(C6:C9,C11)</f>
        <v>53516550</v>
      </c>
      <c r="D12" s="31">
        <f>SUM(D6:D9,D11)</f>
        <v>47781443</v>
      </c>
      <c r="E12" s="31">
        <f t="shared" si="0"/>
        <v>50525312</v>
      </c>
      <c r="F12" s="31">
        <f t="shared" si="0"/>
        <v>43875456.999999978</v>
      </c>
      <c r="G12" s="31">
        <f t="shared" si="0"/>
        <v>40332290</v>
      </c>
      <c r="H12" s="31">
        <f t="shared" si="0"/>
        <v>38423017.00000003</v>
      </c>
      <c r="I12" s="31">
        <f t="shared" si="0"/>
        <v>40841079.999999985</v>
      </c>
      <c r="J12" s="31">
        <f>SUM(J5:J9,J11)</f>
        <v>42859474</v>
      </c>
      <c r="K12" s="31">
        <f>SUM(K5:K9,K11)</f>
        <v>41583810</v>
      </c>
      <c r="L12" s="31">
        <f t="shared" si="0"/>
        <v>47090399.000000015</v>
      </c>
      <c r="M12" s="31">
        <f t="shared" si="0"/>
        <v>49526839</v>
      </c>
      <c r="N12" s="31">
        <f t="shared" si="0"/>
        <v>55092066</v>
      </c>
      <c r="P12" s="19"/>
    </row>
    <row r="13" spans="1:16" ht="22.5" customHeight="1" x14ac:dyDescent="0.25">
      <c r="A13" s="68" t="s">
        <v>34</v>
      </c>
      <c r="B13" s="32" t="s">
        <v>15</v>
      </c>
      <c r="C13" s="30">
        <v>7268</v>
      </c>
      <c r="D13" s="30">
        <v>4454</v>
      </c>
      <c r="E13" s="30">
        <v>2311</v>
      </c>
      <c r="F13" s="30">
        <v>1088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  <c r="P13" s="19"/>
    </row>
    <row r="14" spans="1:16" ht="33.75" customHeight="1" x14ac:dyDescent="0.25">
      <c r="A14" s="69"/>
      <c r="B14" s="32" t="s">
        <v>16</v>
      </c>
      <c r="C14" s="30">
        <v>90594</v>
      </c>
      <c r="D14" s="30">
        <v>90596</v>
      </c>
      <c r="E14" s="30">
        <v>78985</v>
      </c>
      <c r="F14" s="30">
        <v>54799</v>
      </c>
      <c r="G14" s="30">
        <v>50389</v>
      </c>
      <c r="H14" s="30">
        <v>51243</v>
      </c>
      <c r="I14" s="30">
        <v>44977</v>
      </c>
      <c r="J14" s="30">
        <v>54922</v>
      </c>
      <c r="K14" s="30">
        <v>62242</v>
      </c>
      <c r="L14" s="30">
        <v>76414</v>
      </c>
      <c r="M14" s="30">
        <v>81943</v>
      </c>
      <c r="N14" s="30">
        <v>88461</v>
      </c>
      <c r="P14" s="19"/>
    </row>
    <row r="15" spans="1:16" ht="33.75" customHeight="1" x14ac:dyDescent="0.25">
      <c r="A15" s="69"/>
      <c r="B15" s="32" t="s">
        <v>17</v>
      </c>
      <c r="C15" s="30">
        <v>66888</v>
      </c>
      <c r="D15" s="30">
        <v>58987</v>
      </c>
      <c r="E15" s="30">
        <v>45177</v>
      </c>
      <c r="F15" s="30">
        <v>37905</v>
      </c>
      <c r="G15" s="30">
        <v>40244</v>
      </c>
      <c r="H15" s="30">
        <v>30365</v>
      </c>
      <c r="I15" s="30">
        <v>36230</v>
      </c>
      <c r="J15" s="30">
        <v>40257</v>
      </c>
      <c r="K15" s="30">
        <v>37862</v>
      </c>
      <c r="L15" s="30">
        <v>38229</v>
      </c>
      <c r="M15" s="30">
        <v>52960</v>
      </c>
      <c r="N15" s="30">
        <v>45791</v>
      </c>
      <c r="P15" s="19"/>
    </row>
    <row r="16" spans="1:16" ht="33.75" customHeight="1" x14ac:dyDescent="0.25">
      <c r="A16" s="76"/>
      <c r="B16" s="70" t="s">
        <v>21</v>
      </c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2"/>
      <c r="P16" s="19"/>
    </row>
    <row r="17" spans="1:16" ht="22.5" customHeight="1" x14ac:dyDescent="0.25">
      <c r="A17" s="45"/>
      <c r="B17" s="46"/>
      <c r="C17" s="30">
        <v>106821</v>
      </c>
      <c r="D17" s="30">
        <v>94856</v>
      </c>
      <c r="E17" s="30">
        <v>84849</v>
      </c>
      <c r="F17" s="30">
        <v>91048</v>
      </c>
      <c r="G17" s="30">
        <v>85387</v>
      </c>
      <c r="H17" s="30">
        <v>74995</v>
      </c>
      <c r="I17" s="30">
        <v>83010</v>
      </c>
      <c r="J17" s="30">
        <v>81750</v>
      </c>
      <c r="K17" s="30">
        <v>83280</v>
      </c>
      <c r="L17" s="30">
        <v>87442</v>
      </c>
      <c r="M17" s="30">
        <v>89380</v>
      </c>
      <c r="N17" s="30">
        <v>104614</v>
      </c>
      <c r="P17" s="19"/>
    </row>
    <row r="18" spans="1:16" ht="22.5" customHeight="1" x14ac:dyDescent="0.25">
      <c r="A18" s="66" t="s">
        <v>18</v>
      </c>
      <c r="B18" s="67"/>
      <c r="C18" s="31">
        <f>SUM(C13:C15,C17)</f>
        <v>271571</v>
      </c>
      <c r="D18" s="31">
        <f>SUM(D13:D15,D17)</f>
        <v>248893</v>
      </c>
      <c r="E18" s="31">
        <f t="shared" ref="E18:N18" si="1">SUM(E13:E15,E17)</f>
        <v>211322</v>
      </c>
      <c r="F18" s="31">
        <f t="shared" si="1"/>
        <v>184840</v>
      </c>
      <c r="G18" s="31">
        <f t="shared" si="1"/>
        <v>176020</v>
      </c>
      <c r="H18" s="31">
        <f t="shared" si="1"/>
        <v>156603</v>
      </c>
      <c r="I18" s="31">
        <f t="shared" si="1"/>
        <v>164217</v>
      </c>
      <c r="J18" s="31">
        <f t="shared" si="1"/>
        <v>176929</v>
      </c>
      <c r="K18" s="31">
        <f t="shared" si="1"/>
        <v>183384</v>
      </c>
      <c r="L18" s="31">
        <f t="shared" si="1"/>
        <v>202085</v>
      </c>
      <c r="M18" s="31">
        <f t="shared" si="1"/>
        <v>224283</v>
      </c>
      <c r="N18" s="31">
        <f t="shared" si="1"/>
        <v>238866</v>
      </c>
      <c r="P18" s="19"/>
    </row>
    <row r="19" spans="1:16" s="10" customFormat="1" ht="22.5" customHeight="1" x14ac:dyDescent="0.25">
      <c r="A19" s="66" t="s">
        <v>19</v>
      </c>
      <c r="B19" s="67"/>
      <c r="C19" s="31">
        <f>C12+C18</f>
        <v>53788121</v>
      </c>
      <c r="D19" s="31">
        <f>D12+D18</f>
        <v>48030336</v>
      </c>
      <c r="E19" s="31">
        <f t="shared" ref="E19:N19" si="2">E12+E18</f>
        <v>50736634</v>
      </c>
      <c r="F19" s="31">
        <f t="shared" si="2"/>
        <v>44060296.999999978</v>
      </c>
      <c r="G19" s="31">
        <f t="shared" si="2"/>
        <v>40508310</v>
      </c>
      <c r="H19" s="31">
        <f t="shared" si="2"/>
        <v>38579620.00000003</v>
      </c>
      <c r="I19" s="31">
        <f t="shared" si="2"/>
        <v>41005296.999999985</v>
      </c>
      <c r="J19" s="31">
        <f t="shared" si="2"/>
        <v>43036403</v>
      </c>
      <c r="K19" s="31">
        <f t="shared" si="2"/>
        <v>41767194</v>
      </c>
      <c r="L19" s="31">
        <f t="shared" si="2"/>
        <v>47292484.000000015</v>
      </c>
      <c r="M19" s="31">
        <f t="shared" si="2"/>
        <v>49751122</v>
      </c>
      <c r="N19" s="31">
        <f t="shared" si="2"/>
        <v>55330932</v>
      </c>
      <c r="P19" s="19"/>
    </row>
    <row r="20" spans="1:16" ht="22.5" customHeight="1" x14ac:dyDescent="0.25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</row>
    <row r="21" spans="1:16" ht="22.5" customHeight="1" x14ac:dyDescent="0.25">
      <c r="A21" s="36"/>
      <c r="B21" s="36"/>
      <c r="C21" s="36"/>
      <c r="D21" s="36"/>
      <c r="E21" s="36"/>
      <c r="F21" s="36"/>
      <c r="G21" s="37"/>
      <c r="H21" s="37"/>
      <c r="I21" s="38"/>
      <c r="J21" s="39"/>
      <c r="K21" s="37"/>
      <c r="L21" s="37"/>
      <c r="M21" s="36"/>
      <c r="N21" s="36"/>
    </row>
    <row r="22" spans="1:16" ht="22.5" customHeight="1" x14ac:dyDescent="0.25">
      <c r="A22" s="36"/>
      <c r="B22" s="36"/>
      <c r="C22" s="36"/>
      <c r="D22" s="36"/>
      <c r="E22" s="40"/>
      <c r="F22" s="36"/>
      <c r="G22" s="37"/>
      <c r="H22" s="37"/>
      <c r="I22" s="38"/>
      <c r="J22" s="39"/>
      <c r="K22" s="37"/>
      <c r="L22" s="37"/>
      <c r="M22" s="36"/>
      <c r="N22" s="36"/>
    </row>
    <row r="23" spans="1:16" ht="22.5" customHeight="1" x14ac:dyDescent="0.25">
      <c r="G23" s="20"/>
      <c r="H23" s="20"/>
      <c r="I23" s="21"/>
      <c r="J23" s="22"/>
      <c r="K23" s="20"/>
      <c r="L23" s="20"/>
    </row>
    <row r="24" spans="1:16" ht="22.5" customHeight="1" x14ac:dyDescent="0.25">
      <c r="G24" s="20"/>
      <c r="H24" s="20"/>
      <c r="I24" s="21"/>
      <c r="J24" s="22"/>
      <c r="K24" s="20"/>
      <c r="L24" s="20"/>
    </row>
    <row r="25" spans="1:16" ht="22.5" customHeight="1" x14ac:dyDescent="0.25">
      <c r="G25" s="20"/>
      <c r="H25" s="20"/>
      <c r="I25" s="21"/>
      <c r="J25" s="22"/>
      <c r="K25" s="20"/>
      <c r="L25" s="20"/>
    </row>
    <row r="26" spans="1:16" ht="22.5" customHeight="1" x14ac:dyDescent="0.25">
      <c r="G26" s="20"/>
      <c r="H26" s="20"/>
      <c r="I26" s="20"/>
      <c r="J26" s="20"/>
      <c r="K26" s="20"/>
      <c r="L26" s="20"/>
    </row>
    <row r="27" spans="1:16" ht="22.5" customHeight="1" x14ac:dyDescent="0.25">
      <c r="G27" s="20"/>
      <c r="H27" s="20"/>
      <c r="I27" s="20"/>
      <c r="J27" s="20"/>
      <c r="K27" s="20"/>
      <c r="L27" s="20"/>
    </row>
    <row r="28" spans="1:16" ht="22.5" customHeight="1" x14ac:dyDescent="0.25">
      <c r="G28" s="20"/>
      <c r="H28" s="20"/>
      <c r="I28" s="20"/>
      <c r="J28" s="20"/>
      <c r="K28" s="20"/>
      <c r="L28" s="20"/>
    </row>
    <row r="29" spans="1:16" ht="22.5" customHeight="1" x14ac:dyDescent="0.25">
      <c r="G29" s="20"/>
      <c r="H29" s="20"/>
      <c r="I29" s="20"/>
      <c r="J29" s="20"/>
      <c r="K29" s="20"/>
      <c r="L29" s="20"/>
    </row>
    <row r="30" spans="1:16" ht="22.5" customHeight="1" x14ac:dyDescent="0.25">
      <c r="G30" s="20"/>
      <c r="H30" s="20"/>
      <c r="I30" s="20"/>
      <c r="J30" s="20"/>
      <c r="K30" s="20"/>
      <c r="L30" s="20"/>
    </row>
    <row r="31" spans="1:16" ht="22.5" customHeight="1" x14ac:dyDescent="0.25">
      <c r="G31" s="20"/>
      <c r="H31" s="20"/>
      <c r="I31" s="20"/>
      <c r="J31" s="20"/>
      <c r="K31" s="20"/>
      <c r="L31" s="20"/>
    </row>
    <row r="32" spans="1:16" ht="22.5" customHeight="1" x14ac:dyDescent="0.25">
      <c r="G32" s="20"/>
      <c r="H32" s="20"/>
      <c r="I32" s="20"/>
      <c r="J32" s="20"/>
      <c r="K32" s="20"/>
      <c r="L32" s="20"/>
    </row>
    <row r="33" spans="7:12" ht="22.5" customHeight="1" x14ac:dyDescent="0.25">
      <c r="G33" s="20"/>
      <c r="H33" s="20"/>
      <c r="I33" s="20"/>
      <c r="J33" s="20"/>
      <c r="K33" s="20"/>
      <c r="L33" s="20"/>
    </row>
    <row r="34" spans="7:12" ht="22.5" customHeight="1" x14ac:dyDescent="0.25">
      <c r="G34" s="20"/>
      <c r="H34" s="20"/>
      <c r="I34" s="20"/>
      <c r="J34" s="20"/>
      <c r="K34" s="20"/>
      <c r="L34" s="20"/>
    </row>
    <row r="35" spans="7:12" ht="22.5" customHeight="1" x14ac:dyDescent="0.25">
      <c r="G35" s="20"/>
      <c r="H35" s="20"/>
      <c r="I35" s="20"/>
      <c r="J35" s="20"/>
      <c r="K35" s="20"/>
      <c r="L35" s="20"/>
    </row>
  </sheetData>
  <mergeCells count="9">
    <mergeCell ref="A18:B18"/>
    <mergeCell ref="A19:B19"/>
    <mergeCell ref="A2:N2"/>
    <mergeCell ref="A4:A11"/>
    <mergeCell ref="B4:N4"/>
    <mergeCell ref="B10:N10"/>
    <mergeCell ref="A12:B12"/>
    <mergeCell ref="A13:A16"/>
    <mergeCell ref="B16:N1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5"/>
  <sheetViews>
    <sheetView tabSelected="1" topLeftCell="B1" zoomScale="85" zoomScaleNormal="85" workbookViewId="0">
      <selection activeCell="N5" sqref="N5"/>
    </sheetView>
  </sheetViews>
  <sheetFormatPr defaultColWidth="9.140625" defaultRowHeight="15" x14ac:dyDescent="0.25"/>
  <cols>
    <col min="1" max="1" width="30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4" width="24.28515625" style="1" customWidth="1"/>
    <col min="15" max="15" width="9.140625" style="1"/>
    <col min="16" max="16" width="10.7109375" style="1" bestFit="1" customWidth="1"/>
    <col min="17" max="16384" width="9.140625" style="1"/>
  </cols>
  <sheetData>
    <row r="2" spans="1:16" ht="42.75" customHeight="1" x14ac:dyDescent="0.25">
      <c r="A2" s="54" t="s">
        <v>40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spans="1:16" s="5" customFormat="1" ht="33" customHeight="1" x14ac:dyDescent="0.25">
      <c r="A3" s="2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</row>
    <row r="4" spans="1:16" ht="22.5" customHeight="1" x14ac:dyDescent="0.25">
      <c r="A4" s="68" t="s">
        <v>36</v>
      </c>
      <c r="B4" s="70" t="s">
        <v>20</v>
      </c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2"/>
    </row>
    <row r="5" spans="1:16" ht="22.5" customHeight="1" x14ac:dyDescent="0.25">
      <c r="A5" s="69"/>
      <c r="B5" s="51" t="s">
        <v>39</v>
      </c>
      <c r="C5" s="30">
        <v>255159</v>
      </c>
      <c r="D5" s="30">
        <v>240542</v>
      </c>
      <c r="E5" s="30">
        <v>160223</v>
      </c>
      <c r="F5" s="30">
        <v>129525</v>
      </c>
      <c r="G5" s="30">
        <v>107888</v>
      </c>
      <c r="H5" s="30">
        <v>92641</v>
      </c>
      <c r="I5" s="30">
        <v>103873</v>
      </c>
      <c r="J5" s="30">
        <v>106182</v>
      </c>
      <c r="K5" s="30">
        <v>100077</v>
      </c>
      <c r="L5" s="30">
        <v>135555</v>
      </c>
      <c r="M5" s="30">
        <v>162627</v>
      </c>
      <c r="N5" s="30">
        <v>109417</v>
      </c>
    </row>
    <row r="6" spans="1:16" ht="22.5" customHeight="1" x14ac:dyDescent="0.25">
      <c r="A6" s="69"/>
      <c r="B6" s="48" t="s">
        <v>14</v>
      </c>
      <c r="C6" s="30">
        <v>53438175</v>
      </c>
      <c r="D6" s="30">
        <v>46972372</v>
      </c>
      <c r="E6" s="30">
        <v>46065572</v>
      </c>
      <c r="F6" s="30">
        <v>39770378</v>
      </c>
      <c r="G6" s="30">
        <v>39213688</v>
      </c>
      <c r="H6" s="30">
        <v>36385070</v>
      </c>
      <c r="I6" s="30">
        <v>40125447</v>
      </c>
      <c r="J6" s="30">
        <v>37938137</v>
      </c>
      <c r="K6" s="30">
        <v>35277007</v>
      </c>
      <c r="L6" s="30">
        <v>40930117</v>
      </c>
      <c r="M6" s="30">
        <v>43989076</v>
      </c>
      <c r="N6" s="30">
        <v>48540093</v>
      </c>
      <c r="P6" s="19"/>
    </row>
    <row r="7" spans="1:16" ht="22.5" customHeight="1" x14ac:dyDescent="0.25">
      <c r="A7" s="69"/>
      <c r="B7" s="48" t="s">
        <v>15</v>
      </c>
      <c r="C7" s="30">
        <v>271524</v>
      </c>
      <c r="D7" s="30">
        <v>290330</v>
      </c>
      <c r="E7" s="30">
        <v>311601</v>
      </c>
      <c r="F7" s="30">
        <v>200125</v>
      </c>
      <c r="G7" s="30">
        <v>165529</v>
      </c>
      <c r="H7" s="30">
        <v>183198</v>
      </c>
      <c r="I7" s="30">
        <v>214411</v>
      </c>
      <c r="J7" s="30">
        <v>219054</v>
      </c>
      <c r="K7" s="30">
        <v>181785</v>
      </c>
      <c r="L7" s="30">
        <v>248117</v>
      </c>
      <c r="M7" s="30">
        <v>246347</v>
      </c>
      <c r="N7" s="30">
        <v>314310</v>
      </c>
      <c r="P7" s="19"/>
    </row>
    <row r="8" spans="1:16" ht="22.5" customHeight="1" x14ac:dyDescent="0.25">
      <c r="A8" s="69"/>
      <c r="B8" s="48" t="s">
        <v>16</v>
      </c>
      <c r="C8" s="30">
        <v>2640091</v>
      </c>
      <c r="D8" s="30">
        <v>2501526</v>
      </c>
      <c r="E8" s="30">
        <v>2207686</v>
      </c>
      <c r="F8" s="30">
        <v>1590964</v>
      </c>
      <c r="G8" s="30">
        <v>1641901</v>
      </c>
      <c r="H8" s="30">
        <v>1260695</v>
      </c>
      <c r="I8" s="30">
        <v>1297831</v>
      </c>
      <c r="J8" s="30">
        <v>1319685</v>
      </c>
      <c r="K8" s="30">
        <v>1300449</v>
      </c>
      <c r="L8" s="30">
        <v>1923667</v>
      </c>
      <c r="M8" s="30">
        <v>2190321</v>
      </c>
      <c r="N8" s="30">
        <v>2273658</v>
      </c>
      <c r="P8" s="19"/>
    </row>
    <row r="9" spans="1:16" ht="22.5" customHeight="1" x14ac:dyDescent="0.25">
      <c r="A9" s="69"/>
      <c r="B9" s="32" t="s">
        <v>17</v>
      </c>
      <c r="C9" s="30">
        <v>369907</v>
      </c>
      <c r="D9" s="30">
        <v>429873</v>
      </c>
      <c r="E9" s="30">
        <v>453862</v>
      </c>
      <c r="F9" s="30">
        <v>250678</v>
      </c>
      <c r="G9" s="30">
        <v>225981</v>
      </c>
      <c r="H9" s="30">
        <v>180082</v>
      </c>
      <c r="I9" s="30">
        <v>233410</v>
      </c>
      <c r="J9" s="30">
        <v>191943</v>
      </c>
      <c r="K9" s="30">
        <v>193868</v>
      </c>
      <c r="L9" s="30">
        <v>232125</v>
      </c>
      <c r="M9" s="30">
        <v>270183</v>
      </c>
      <c r="N9" s="30">
        <v>307148</v>
      </c>
      <c r="P9" s="19"/>
    </row>
    <row r="10" spans="1:16" ht="22.5" customHeight="1" x14ac:dyDescent="0.25">
      <c r="A10" s="69"/>
      <c r="B10" s="70" t="s">
        <v>21</v>
      </c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2"/>
      <c r="P10" s="19"/>
    </row>
    <row r="11" spans="1:16" ht="22.5" customHeight="1" x14ac:dyDescent="0.25">
      <c r="A11" s="69"/>
      <c r="B11" s="33"/>
      <c r="C11" s="30">
        <v>732675</v>
      </c>
      <c r="D11" s="30">
        <v>664752</v>
      </c>
      <c r="E11" s="30">
        <v>604299</v>
      </c>
      <c r="F11" s="30">
        <v>627363</v>
      </c>
      <c r="G11" s="30">
        <v>820544</v>
      </c>
      <c r="H11" s="30">
        <v>781205</v>
      </c>
      <c r="I11" s="30">
        <v>813695</v>
      </c>
      <c r="J11" s="30">
        <f>806249+2115</f>
        <v>808364</v>
      </c>
      <c r="K11" s="30">
        <v>778809</v>
      </c>
      <c r="L11" s="30">
        <v>708043</v>
      </c>
      <c r="M11" s="30">
        <v>651338</v>
      </c>
      <c r="N11" s="30">
        <v>640244</v>
      </c>
      <c r="P11" s="19"/>
    </row>
    <row r="12" spans="1:16" ht="22.5" customHeight="1" x14ac:dyDescent="0.25">
      <c r="A12" s="66" t="s">
        <v>18</v>
      </c>
      <c r="B12" s="67"/>
      <c r="C12" s="31">
        <f>SUM(C5:C9,C11)</f>
        <v>57707531</v>
      </c>
      <c r="D12" s="31">
        <f t="shared" ref="D12:N12" si="0">SUM(D5:D9,D11)</f>
        <v>51099395</v>
      </c>
      <c r="E12" s="31">
        <f t="shared" si="0"/>
        <v>49803243</v>
      </c>
      <c r="F12" s="31">
        <f t="shared" si="0"/>
        <v>42569033</v>
      </c>
      <c r="G12" s="31">
        <f t="shared" si="0"/>
        <v>42175531</v>
      </c>
      <c r="H12" s="31">
        <f t="shared" si="0"/>
        <v>38882891</v>
      </c>
      <c r="I12" s="31">
        <f t="shared" si="0"/>
        <v>42788667</v>
      </c>
      <c r="J12" s="31">
        <f t="shared" si="0"/>
        <v>40583365</v>
      </c>
      <c r="K12" s="31">
        <f t="shared" si="0"/>
        <v>37831995</v>
      </c>
      <c r="L12" s="31">
        <f t="shared" si="0"/>
        <v>44177624</v>
      </c>
      <c r="M12" s="31">
        <f t="shared" si="0"/>
        <v>47509892</v>
      </c>
      <c r="N12" s="31">
        <f t="shared" si="0"/>
        <v>52184870</v>
      </c>
      <c r="P12" s="19"/>
    </row>
    <row r="13" spans="1:16" ht="22.5" customHeight="1" x14ac:dyDescent="0.25">
      <c r="A13" s="68" t="s">
        <v>34</v>
      </c>
      <c r="B13" s="32" t="s">
        <v>15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  <c r="H13" s="30">
        <v>0</v>
      </c>
      <c r="I13" s="30">
        <v>60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  <c r="P13" s="19"/>
    </row>
    <row r="14" spans="1:16" ht="33.75" customHeight="1" x14ac:dyDescent="0.25">
      <c r="A14" s="69"/>
      <c r="B14" s="32" t="s">
        <v>16</v>
      </c>
      <c r="C14" s="30">
        <v>112316</v>
      </c>
      <c r="D14" s="30">
        <v>94144</v>
      </c>
      <c r="E14" s="30">
        <v>81137</v>
      </c>
      <c r="F14" s="30">
        <v>59487</v>
      </c>
      <c r="G14" s="30">
        <v>50886</v>
      </c>
      <c r="H14" s="30">
        <v>50294</v>
      </c>
      <c r="I14" s="30">
        <v>51012</v>
      </c>
      <c r="J14" s="30">
        <v>44020</v>
      </c>
      <c r="K14" s="30">
        <v>52505</v>
      </c>
      <c r="L14" s="30">
        <v>71185</v>
      </c>
      <c r="M14" s="30">
        <v>84300</v>
      </c>
      <c r="N14" s="30">
        <v>87183</v>
      </c>
      <c r="P14" s="19"/>
    </row>
    <row r="15" spans="1:16" ht="33.75" customHeight="1" x14ac:dyDescent="0.25">
      <c r="A15" s="69"/>
      <c r="B15" s="32" t="s">
        <v>17</v>
      </c>
      <c r="C15" s="30">
        <v>52332</v>
      </c>
      <c r="D15" s="30">
        <v>56873</v>
      </c>
      <c r="E15" s="30">
        <v>46926</v>
      </c>
      <c r="F15" s="30">
        <v>38485</v>
      </c>
      <c r="G15" s="30">
        <v>36875</v>
      </c>
      <c r="H15" s="30">
        <v>40821</v>
      </c>
      <c r="I15" s="30">
        <v>38218</v>
      </c>
      <c r="J15" s="30">
        <v>38571</v>
      </c>
      <c r="K15" s="30">
        <v>34669</v>
      </c>
      <c r="L15" s="30">
        <v>41036</v>
      </c>
      <c r="M15" s="30">
        <v>42646</v>
      </c>
      <c r="N15" s="30">
        <v>46680</v>
      </c>
      <c r="P15" s="19"/>
    </row>
    <row r="16" spans="1:16" ht="33.75" customHeight="1" x14ac:dyDescent="0.25">
      <c r="A16" s="76"/>
      <c r="B16" s="70" t="s">
        <v>21</v>
      </c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2"/>
      <c r="P16" s="19"/>
    </row>
    <row r="17" spans="1:16" ht="22.5" customHeight="1" x14ac:dyDescent="0.25">
      <c r="A17" s="49"/>
      <c r="B17" s="50"/>
      <c r="C17" s="30">
        <v>94815</v>
      </c>
      <c r="D17" s="30">
        <v>93700</v>
      </c>
      <c r="E17" s="30">
        <v>83387</v>
      </c>
      <c r="F17" s="30">
        <v>87513</v>
      </c>
      <c r="G17" s="30">
        <v>83820</v>
      </c>
      <c r="H17" s="30">
        <v>79984</v>
      </c>
      <c r="I17" s="30">
        <v>75939</v>
      </c>
      <c r="J17" s="30">
        <v>76664</v>
      </c>
      <c r="K17" s="30">
        <v>83334</v>
      </c>
      <c r="L17" s="30">
        <v>86430</v>
      </c>
      <c r="M17" s="30">
        <v>93089</v>
      </c>
      <c r="N17" s="30">
        <v>91098</v>
      </c>
      <c r="P17" s="19"/>
    </row>
    <row r="18" spans="1:16" ht="22.5" customHeight="1" x14ac:dyDescent="0.25">
      <c r="A18" s="66" t="s">
        <v>18</v>
      </c>
      <c r="B18" s="67"/>
      <c r="C18" s="31">
        <f>SUM(C13:C15,C17)</f>
        <v>259463</v>
      </c>
      <c r="D18" s="31">
        <f>SUM(D13:D15,D17)</f>
        <v>244717</v>
      </c>
      <c r="E18" s="31">
        <f t="shared" ref="E18:N18" si="1">SUM(E13:E15,E17)</f>
        <v>211450</v>
      </c>
      <c r="F18" s="31">
        <f t="shared" si="1"/>
        <v>185485</v>
      </c>
      <c r="G18" s="31">
        <f t="shared" si="1"/>
        <v>171581</v>
      </c>
      <c r="H18" s="31">
        <f t="shared" si="1"/>
        <v>171099</v>
      </c>
      <c r="I18" s="31">
        <f t="shared" si="1"/>
        <v>165229</v>
      </c>
      <c r="J18" s="31">
        <f t="shared" si="1"/>
        <v>159255</v>
      </c>
      <c r="K18" s="31">
        <f t="shared" si="1"/>
        <v>170508</v>
      </c>
      <c r="L18" s="31">
        <f t="shared" si="1"/>
        <v>198651</v>
      </c>
      <c r="M18" s="31">
        <f t="shared" si="1"/>
        <v>220035</v>
      </c>
      <c r="N18" s="31">
        <f t="shared" si="1"/>
        <v>224961</v>
      </c>
      <c r="P18" s="19"/>
    </row>
    <row r="19" spans="1:16" s="10" customFormat="1" ht="22.5" customHeight="1" x14ac:dyDescent="0.25">
      <c r="A19" s="66" t="s">
        <v>19</v>
      </c>
      <c r="B19" s="67"/>
      <c r="C19" s="31">
        <f>C12+C18</f>
        <v>57966994</v>
      </c>
      <c r="D19" s="31">
        <f>D12+D18</f>
        <v>51344112</v>
      </c>
      <c r="E19" s="31">
        <f t="shared" ref="E19:N19" si="2">E12+E18</f>
        <v>50014693</v>
      </c>
      <c r="F19" s="31">
        <f t="shared" si="2"/>
        <v>42754518</v>
      </c>
      <c r="G19" s="31">
        <f t="shared" si="2"/>
        <v>42347112</v>
      </c>
      <c r="H19" s="31">
        <f t="shared" si="2"/>
        <v>39053990</v>
      </c>
      <c r="I19" s="31">
        <f t="shared" si="2"/>
        <v>42953896</v>
      </c>
      <c r="J19" s="31">
        <f t="shared" si="2"/>
        <v>40742620</v>
      </c>
      <c r="K19" s="31">
        <f t="shared" si="2"/>
        <v>38002503</v>
      </c>
      <c r="L19" s="31">
        <f t="shared" si="2"/>
        <v>44376275</v>
      </c>
      <c r="M19" s="31">
        <f t="shared" si="2"/>
        <v>47729927</v>
      </c>
      <c r="N19" s="31">
        <f t="shared" si="2"/>
        <v>52409831</v>
      </c>
      <c r="P19" s="19"/>
    </row>
    <row r="20" spans="1:16" ht="22.5" customHeight="1" x14ac:dyDescent="0.25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</row>
    <row r="21" spans="1:16" ht="22.5" customHeight="1" x14ac:dyDescent="0.25">
      <c r="A21" s="36"/>
      <c r="B21" s="36"/>
      <c r="C21" s="36"/>
      <c r="D21" s="36"/>
      <c r="E21" s="36"/>
      <c r="F21" s="36"/>
      <c r="G21" s="37"/>
      <c r="H21" s="37"/>
      <c r="I21" s="38"/>
      <c r="J21" s="39"/>
      <c r="K21" s="37"/>
      <c r="L21" s="37"/>
      <c r="M21" s="36"/>
      <c r="N21" s="36"/>
    </row>
    <row r="22" spans="1:16" ht="22.5" customHeight="1" x14ac:dyDescent="0.25">
      <c r="A22" s="36"/>
      <c r="B22" s="36"/>
      <c r="C22" s="36"/>
      <c r="D22" s="36"/>
      <c r="E22" s="40"/>
      <c r="F22" s="36"/>
      <c r="G22" s="37"/>
      <c r="H22" s="37"/>
      <c r="I22" s="38"/>
      <c r="J22" s="39"/>
      <c r="K22" s="37"/>
      <c r="L22" s="37"/>
      <c r="M22" s="36"/>
      <c r="N22" s="36"/>
    </row>
    <row r="23" spans="1:16" ht="22.5" customHeight="1" x14ac:dyDescent="0.25">
      <c r="G23" s="20"/>
      <c r="H23" s="20"/>
      <c r="I23" s="21"/>
      <c r="J23" s="22"/>
      <c r="K23" s="20"/>
      <c r="L23" s="20"/>
    </row>
    <row r="24" spans="1:16" ht="22.5" customHeight="1" x14ac:dyDescent="0.25">
      <c r="G24" s="20"/>
      <c r="H24" s="20"/>
      <c r="I24" s="21"/>
      <c r="J24" s="22"/>
      <c r="K24" s="20"/>
      <c r="L24" s="20"/>
    </row>
    <row r="25" spans="1:16" ht="22.5" customHeight="1" x14ac:dyDescent="0.25">
      <c r="G25" s="20"/>
      <c r="H25" s="20"/>
      <c r="I25" s="21"/>
      <c r="J25" s="22"/>
      <c r="K25" s="20"/>
      <c r="L25" s="20"/>
    </row>
    <row r="26" spans="1:16" ht="22.5" customHeight="1" x14ac:dyDescent="0.25">
      <c r="G26" s="20"/>
      <c r="H26" s="20"/>
      <c r="I26" s="20"/>
      <c r="J26" s="22"/>
      <c r="K26" s="20"/>
      <c r="L26" s="20"/>
    </row>
    <row r="27" spans="1:16" ht="22.5" customHeight="1" x14ac:dyDescent="0.25">
      <c r="G27" s="20"/>
      <c r="H27" s="20"/>
      <c r="I27" s="20"/>
      <c r="J27" s="22"/>
      <c r="K27" s="20"/>
      <c r="L27" s="20"/>
    </row>
    <row r="28" spans="1:16" ht="22.5" customHeight="1" x14ac:dyDescent="0.25">
      <c r="G28" s="20"/>
      <c r="H28" s="20"/>
      <c r="I28" s="20"/>
      <c r="J28" s="22"/>
      <c r="K28" s="20"/>
      <c r="L28" s="20"/>
    </row>
    <row r="29" spans="1:16" ht="22.5" customHeight="1" x14ac:dyDescent="0.25">
      <c r="G29" s="20"/>
      <c r="H29" s="20"/>
      <c r="I29" s="20"/>
      <c r="J29" s="22"/>
      <c r="K29" s="20"/>
      <c r="L29" s="20"/>
    </row>
    <row r="30" spans="1:16" ht="22.5" customHeight="1" x14ac:dyDescent="0.25">
      <c r="G30" s="20"/>
      <c r="H30" s="20"/>
      <c r="I30" s="20"/>
      <c r="J30" s="22"/>
      <c r="K30" s="20"/>
      <c r="L30" s="20"/>
    </row>
    <row r="31" spans="1:16" ht="22.5" customHeight="1" x14ac:dyDescent="0.25">
      <c r="G31" s="20"/>
      <c r="H31" s="20"/>
      <c r="I31" s="20"/>
      <c r="J31" s="20"/>
      <c r="K31" s="20"/>
      <c r="L31" s="20"/>
    </row>
    <row r="32" spans="1:16" ht="22.5" customHeight="1" x14ac:dyDescent="0.25">
      <c r="G32" s="20"/>
      <c r="H32" s="20"/>
      <c r="I32" s="20"/>
      <c r="J32" s="20"/>
      <c r="K32" s="20"/>
      <c r="L32" s="20"/>
    </row>
    <row r="33" spans="7:12" ht="22.5" customHeight="1" x14ac:dyDescent="0.25">
      <c r="G33" s="20"/>
      <c r="H33" s="20"/>
      <c r="I33" s="20"/>
      <c r="J33" s="20"/>
      <c r="K33" s="20"/>
      <c r="L33" s="20"/>
    </row>
    <row r="34" spans="7:12" ht="22.5" customHeight="1" x14ac:dyDescent="0.25">
      <c r="G34" s="20"/>
      <c r="H34" s="20"/>
      <c r="I34" s="20"/>
      <c r="J34" s="20"/>
      <c r="K34" s="20"/>
      <c r="L34" s="20"/>
    </row>
    <row r="35" spans="7:12" ht="22.5" customHeight="1" x14ac:dyDescent="0.25">
      <c r="G35" s="20"/>
      <c r="H35" s="20"/>
      <c r="I35" s="20"/>
      <c r="J35" s="20"/>
      <c r="K35" s="20"/>
      <c r="L35" s="20"/>
    </row>
  </sheetData>
  <mergeCells count="9">
    <mergeCell ref="A18:B18"/>
    <mergeCell ref="A19:B19"/>
    <mergeCell ref="A2:N2"/>
    <mergeCell ref="A4:A11"/>
    <mergeCell ref="B4:N4"/>
    <mergeCell ref="B10:N10"/>
    <mergeCell ref="A12:B12"/>
    <mergeCell ref="A13:A16"/>
    <mergeCell ref="B16:N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2"/>
  <sheetViews>
    <sheetView workbookViewId="0">
      <selection activeCell="E25" sqref="E25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54" t="s">
        <v>24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spans="1:14" s="5" customFormat="1" ht="33" customHeight="1" x14ac:dyDescent="0.25">
      <c r="A3" s="2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</row>
    <row r="4" spans="1:14" ht="22.5" customHeight="1" x14ac:dyDescent="0.25">
      <c r="A4" s="55" t="s">
        <v>22</v>
      </c>
      <c r="B4" s="57" t="s">
        <v>20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9"/>
    </row>
    <row r="5" spans="1:14" ht="22.5" customHeight="1" x14ac:dyDescent="0.25">
      <c r="A5" s="56"/>
      <c r="B5" s="6" t="s">
        <v>14</v>
      </c>
      <c r="C5" s="7">
        <v>47685387</v>
      </c>
      <c r="D5" s="7">
        <v>41951209</v>
      </c>
      <c r="E5" s="7">
        <v>43527617</v>
      </c>
      <c r="F5" s="7">
        <v>37445888</v>
      </c>
      <c r="G5" s="7">
        <v>35312237</v>
      </c>
      <c r="H5" s="7">
        <v>34239233</v>
      </c>
      <c r="I5" s="7">
        <v>37343543</v>
      </c>
      <c r="J5" s="7">
        <v>37847516</v>
      </c>
      <c r="K5" s="7">
        <v>38038289</v>
      </c>
      <c r="L5" s="7">
        <v>43737821</v>
      </c>
      <c r="M5" s="7">
        <v>45270449</v>
      </c>
      <c r="N5" s="7">
        <v>49036530</v>
      </c>
    </row>
    <row r="6" spans="1:14" ht="22.5" customHeight="1" x14ac:dyDescent="0.25">
      <c r="A6" s="56"/>
      <c r="B6" s="6" t="s">
        <v>15</v>
      </c>
      <c r="C6" s="7">
        <v>1019143</v>
      </c>
      <c r="D6" s="7">
        <v>1056461</v>
      </c>
      <c r="E6" s="7">
        <v>1071391</v>
      </c>
      <c r="F6" s="7">
        <v>987343</v>
      </c>
      <c r="G6" s="7">
        <v>859436</v>
      </c>
      <c r="H6" s="7">
        <v>851749</v>
      </c>
      <c r="I6" s="7">
        <v>837094</v>
      </c>
      <c r="J6" s="7">
        <v>719709</v>
      </c>
      <c r="K6" s="7">
        <v>854473</v>
      </c>
      <c r="L6" s="7">
        <v>1036608</v>
      </c>
      <c r="M6" s="7">
        <v>1025419</v>
      </c>
      <c r="N6" s="7">
        <v>839884</v>
      </c>
    </row>
    <row r="7" spans="1:14" ht="22.5" customHeight="1" x14ac:dyDescent="0.25">
      <c r="A7" s="56"/>
      <c r="B7" s="6" t="s">
        <v>16</v>
      </c>
      <c r="C7" s="7">
        <v>6519777</v>
      </c>
      <c r="D7" s="7">
        <v>6708070</v>
      </c>
      <c r="E7" s="7">
        <v>5611270</v>
      </c>
      <c r="F7" s="7">
        <v>4963107</v>
      </c>
      <c r="G7" s="7">
        <v>3808370</v>
      </c>
      <c r="H7" s="7">
        <v>3359496</v>
      </c>
      <c r="I7" s="7">
        <v>3296629</v>
      </c>
      <c r="J7" s="7">
        <v>3363720</v>
      </c>
      <c r="K7" s="7">
        <v>3178402</v>
      </c>
      <c r="L7" s="7">
        <v>3980737</v>
      </c>
      <c r="M7" s="7">
        <v>4423713</v>
      </c>
      <c r="N7" s="7">
        <v>4671985</v>
      </c>
    </row>
    <row r="8" spans="1:14" ht="22.5" customHeight="1" x14ac:dyDescent="0.25">
      <c r="A8" s="56"/>
      <c r="B8" s="6" t="s">
        <v>17</v>
      </c>
      <c r="C8" s="7">
        <v>1000045</v>
      </c>
      <c r="D8" s="7">
        <v>1023420</v>
      </c>
      <c r="E8" s="7">
        <v>836611</v>
      </c>
      <c r="F8" s="7">
        <v>812074</v>
      </c>
      <c r="G8" s="7">
        <v>761387</v>
      </c>
      <c r="H8" s="7">
        <v>66047</v>
      </c>
      <c r="I8" s="7">
        <v>681536</v>
      </c>
      <c r="J8" s="7">
        <v>701537</v>
      </c>
      <c r="K8" s="7">
        <v>725529</v>
      </c>
      <c r="L8" s="7">
        <v>797584</v>
      </c>
      <c r="M8" s="7">
        <v>984536</v>
      </c>
      <c r="N8" s="7">
        <v>1050865</v>
      </c>
    </row>
    <row r="9" spans="1:14" ht="22.5" customHeight="1" x14ac:dyDescent="0.25">
      <c r="A9" s="56"/>
      <c r="B9" s="57" t="s">
        <v>21</v>
      </c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9"/>
    </row>
    <row r="10" spans="1:14" ht="22.5" customHeight="1" x14ac:dyDescent="0.25">
      <c r="A10" s="56"/>
      <c r="B10" s="8"/>
      <c r="C10" s="7">
        <v>635437</v>
      </c>
      <c r="D10" s="7">
        <v>667636</v>
      </c>
      <c r="E10" s="7">
        <v>699540</v>
      </c>
      <c r="F10" s="7">
        <v>685143</v>
      </c>
      <c r="G10" s="7">
        <v>1055687</v>
      </c>
      <c r="H10" s="7">
        <v>1049958</v>
      </c>
      <c r="I10" s="7">
        <v>1014279</v>
      </c>
      <c r="J10" s="7">
        <v>759749</v>
      </c>
      <c r="K10" s="7">
        <v>918784</v>
      </c>
      <c r="L10" s="7">
        <v>777046</v>
      </c>
      <c r="M10" s="7">
        <v>637452</v>
      </c>
      <c r="N10" s="7">
        <v>608564</v>
      </c>
    </row>
    <row r="11" spans="1:14" ht="22.5" customHeight="1" x14ac:dyDescent="0.25">
      <c r="A11" s="52" t="s">
        <v>18</v>
      </c>
      <c r="B11" s="53"/>
      <c r="C11" s="9">
        <f t="shared" ref="C11:N11" si="0">SUM(C5:C8,C10)</f>
        <v>56859789</v>
      </c>
      <c r="D11" s="9">
        <f t="shared" si="0"/>
        <v>51406796</v>
      </c>
      <c r="E11" s="9">
        <f t="shared" si="0"/>
        <v>51746429</v>
      </c>
      <c r="F11" s="9">
        <f t="shared" si="0"/>
        <v>44893555</v>
      </c>
      <c r="G11" s="9">
        <f t="shared" si="0"/>
        <v>41797117</v>
      </c>
      <c r="H11" s="9">
        <f t="shared" si="0"/>
        <v>39566483</v>
      </c>
      <c r="I11" s="9">
        <f t="shared" si="0"/>
        <v>43173081</v>
      </c>
      <c r="J11" s="9">
        <f t="shared" si="0"/>
        <v>43392231</v>
      </c>
      <c r="K11" s="9">
        <f t="shared" si="0"/>
        <v>43715477</v>
      </c>
      <c r="L11" s="9">
        <f t="shared" si="0"/>
        <v>50329796</v>
      </c>
      <c r="M11" s="9">
        <f t="shared" si="0"/>
        <v>52341569</v>
      </c>
      <c r="N11" s="9">
        <f t="shared" si="0"/>
        <v>56207828</v>
      </c>
    </row>
    <row r="12" spans="1:14" s="10" customFormat="1" ht="22.5" customHeight="1" x14ac:dyDescent="0.2">
      <c r="A12" s="52" t="s">
        <v>19</v>
      </c>
      <c r="B12" s="53"/>
      <c r="C12" s="9">
        <f>C11</f>
        <v>56859789</v>
      </c>
      <c r="D12" s="9">
        <f t="shared" ref="D12:N12" si="1">D11</f>
        <v>51406796</v>
      </c>
      <c r="E12" s="9">
        <f t="shared" si="1"/>
        <v>51746429</v>
      </c>
      <c r="F12" s="9">
        <f t="shared" si="1"/>
        <v>44893555</v>
      </c>
      <c r="G12" s="9">
        <f t="shared" si="1"/>
        <v>41797117</v>
      </c>
      <c r="H12" s="9">
        <f t="shared" si="1"/>
        <v>39566483</v>
      </c>
      <c r="I12" s="9">
        <f t="shared" si="1"/>
        <v>43173081</v>
      </c>
      <c r="J12" s="9">
        <f t="shared" si="1"/>
        <v>43392231</v>
      </c>
      <c r="K12" s="9">
        <f t="shared" si="1"/>
        <v>43715477</v>
      </c>
      <c r="L12" s="9">
        <f t="shared" si="1"/>
        <v>50329796</v>
      </c>
      <c r="M12" s="9">
        <f t="shared" si="1"/>
        <v>52341569</v>
      </c>
      <c r="N12" s="9">
        <f t="shared" si="1"/>
        <v>56207828</v>
      </c>
    </row>
  </sheetData>
  <mergeCells count="6">
    <mergeCell ref="A12:B12"/>
    <mergeCell ref="A2:N2"/>
    <mergeCell ref="A4:A10"/>
    <mergeCell ref="B4:N4"/>
    <mergeCell ref="B9:N9"/>
    <mergeCell ref="A11:B1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2"/>
  <sheetViews>
    <sheetView workbookViewId="0">
      <selection sqref="A1:XFD1048576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4" width="24.28515625" style="1" customWidth="1"/>
    <col min="15" max="16384" width="9.140625" style="1"/>
  </cols>
  <sheetData>
    <row r="2" spans="1:14" ht="42.75" customHeight="1" x14ac:dyDescent="0.25">
      <c r="A2" s="54" t="s">
        <v>25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spans="1:14" s="5" customFormat="1" ht="33" customHeight="1" x14ac:dyDescent="0.25">
      <c r="A3" s="2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</row>
    <row r="4" spans="1:14" ht="22.5" customHeight="1" x14ac:dyDescent="0.25">
      <c r="A4" s="55" t="s">
        <v>26</v>
      </c>
      <c r="B4" s="57" t="s">
        <v>20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9"/>
    </row>
    <row r="5" spans="1:14" ht="22.5" customHeight="1" x14ac:dyDescent="0.25">
      <c r="A5" s="56"/>
      <c r="B5" s="6" t="s">
        <v>14</v>
      </c>
      <c r="C5" s="7">
        <v>46297251</v>
      </c>
      <c r="D5" s="7">
        <v>40475948</v>
      </c>
      <c r="E5" s="7">
        <v>43597389</v>
      </c>
      <c r="F5" s="7">
        <v>38268346</v>
      </c>
      <c r="G5" s="7">
        <v>34528833</v>
      </c>
      <c r="H5" s="7">
        <v>34622864</v>
      </c>
      <c r="I5" s="7">
        <v>33838304</v>
      </c>
      <c r="J5" s="7">
        <v>36124562</v>
      </c>
      <c r="K5" s="7">
        <v>34074842</v>
      </c>
      <c r="L5" s="7">
        <v>38723744</v>
      </c>
      <c r="M5" s="7">
        <v>41271180</v>
      </c>
      <c r="N5" s="7">
        <f>40055963+2880947</f>
        <v>42936910</v>
      </c>
    </row>
    <row r="6" spans="1:14" ht="22.5" customHeight="1" x14ac:dyDescent="0.25">
      <c r="A6" s="56"/>
      <c r="B6" s="6" t="s">
        <v>15</v>
      </c>
      <c r="C6" s="7">
        <v>1123653</v>
      </c>
      <c r="D6" s="7">
        <v>899504</v>
      </c>
      <c r="E6" s="7">
        <v>990374</v>
      </c>
      <c r="F6" s="7">
        <v>1092371</v>
      </c>
      <c r="G6" s="7">
        <v>633695</v>
      </c>
      <c r="H6" s="7">
        <v>928005</v>
      </c>
      <c r="I6" s="7">
        <v>830985</v>
      </c>
      <c r="J6" s="7">
        <v>598126</v>
      </c>
      <c r="K6" s="7">
        <v>877870</v>
      </c>
      <c r="L6" s="7">
        <v>1027894</v>
      </c>
      <c r="M6" s="7">
        <v>935595</v>
      </c>
      <c r="N6" s="7">
        <v>1008353</v>
      </c>
    </row>
    <row r="7" spans="1:14" ht="22.5" customHeight="1" x14ac:dyDescent="0.25">
      <c r="A7" s="56"/>
      <c r="B7" s="6" t="s">
        <v>16</v>
      </c>
      <c r="C7" s="7">
        <v>4717137</v>
      </c>
      <c r="D7" s="7">
        <v>4585038</v>
      </c>
      <c r="E7" s="7">
        <v>4034250</v>
      </c>
      <c r="F7" s="7">
        <v>3959149</v>
      </c>
      <c r="G7" s="7">
        <f>2728409-110376</f>
        <v>2618033</v>
      </c>
      <c r="H7" s="7">
        <v>2359581</v>
      </c>
      <c r="I7" s="7">
        <v>2439730</v>
      </c>
      <c r="J7" s="7">
        <v>2652129</v>
      </c>
      <c r="K7" s="7">
        <v>2696713</v>
      </c>
      <c r="L7" s="7">
        <v>3212707</v>
      </c>
      <c r="M7" s="7">
        <v>3810441</v>
      </c>
      <c r="N7" s="7">
        <v>4574398</v>
      </c>
    </row>
    <row r="8" spans="1:14" ht="22.5" customHeight="1" x14ac:dyDescent="0.25">
      <c r="A8" s="56"/>
      <c r="B8" s="6" t="s">
        <v>17</v>
      </c>
      <c r="C8" s="7">
        <v>1034037</v>
      </c>
      <c r="D8" s="7">
        <v>953332</v>
      </c>
      <c r="E8" s="7">
        <v>838682</v>
      </c>
      <c r="F8" s="7">
        <v>780199</v>
      </c>
      <c r="G8" s="7">
        <f>464011+110376</f>
        <v>574387</v>
      </c>
      <c r="H8" s="7">
        <v>625162</v>
      </c>
      <c r="I8" s="7">
        <v>635961</v>
      </c>
      <c r="J8" s="7">
        <v>617974</v>
      </c>
      <c r="K8" s="7">
        <v>622160</v>
      </c>
      <c r="L8" s="7">
        <v>777063</v>
      </c>
      <c r="M8" s="7">
        <v>824027</v>
      </c>
      <c r="N8" s="7">
        <v>861499</v>
      </c>
    </row>
    <row r="9" spans="1:14" ht="22.5" customHeight="1" x14ac:dyDescent="0.25">
      <c r="A9" s="56"/>
      <c r="B9" s="57" t="s">
        <v>21</v>
      </c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9"/>
    </row>
    <row r="10" spans="1:14" ht="22.5" customHeight="1" x14ac:dyDescent="0.25">
      <c r="A10" s="56"/>
      <c r="B10" s="8"/>
      <c r="C10" s="7">
        <v>645506</v>
      </c>
      <c r="D10" s="7">
        <v>699443</v>
      </c>
      <c r="E10" s="7">
        <v>664748</v>
      </c>
      <c r="F10" s="7">
        <v>1012004</v>
      </c>
      <c r="G10" s="7">
        <v>1233750</v>
      </c>
      <c r="H10" s="7">
        <v>816764</v>
      </c>
      <c r="I10" s="7">
        <v>815702</v>
      </c>
      <c r="J10" s="7">
        <v>844253</v>
      </c>
      <c r="K10" s="7">
        <v>765997</v>
      </c>
      <c r="L10" s="7">
        <v>718118</v>
      </c>
      <c r="M10" s="7">
        <v>646888</v>
      </c>
      <c r="N10" s="7">
        <v>602954</v>
      </c>
    </row>
    <row r="11" spans="1:14" ht="22.5" customHeight="1" x14ac:dyDescent="0.25">
      <c r="A11" s="52" t="s">
        <v>18</v>
      </c>
      <c r="B11" s="53"/>
      <c r="C11" s="9">
        <f t="shared" ref="C11:M11" si="0">SUM(C5:C8,C10)</f>
        <v>53817584</v>
      </c>
      <c r="D11" s="9">
        <f t="shared" si="0"/>
        <v>47613265</v>
      </c>
      <c r="E11" s="9">
        <f t="shared" si="0"/>
        <v>50125443</v>
      </c>
      <c r="F11" s="9">
        <f t="shared" si="0"/>
        <v>45112069</v>
      </c>
      <c r="G11" s="9">
        <f t="shared" si="0"/>
        <v>39588698</v>
      </c>
      <c r="H11" s="9">
        <f t="shared" si="0"/>
        <v>39352376</v>
      </c>
      <c r="I11" s="9">
        <f t="shared" si="0"/>
        <v>38560682</v>
      </c>
      <c r="J11" s="9">
        <f t="shared" si="0"/>
        <v>40837044</v>
      </c>
      <c r="K11" s="9">
        <f t="shared" si="0"/>
        <v>39037582</v>
      </c>
      <c r="L11" s="9">
        <f t="shared" si="0"/>
        <v>44459526</v>
      </c>
      <c r="M11" s="9">
        <f t="shared" si="0"/>
        <v>47488131</v>
      </c>
      <c r="N11" s="9">
        <f t="shared" ref="N11" si="1">SUM(N5:N8,N10)</f>
        <v>49984114</v>
      </c>
    </row>
    <row r="12" spans="1:14" s="10" customFormat="1" ht="22.5" customHeight="1" x14ac:dyDescent="0.2">
      <c r="A12" s="52" t="s">
        <v>19</v>
      </c>
      <c r="B12" s="53"/>
      <c r="C12" s="9">
        <f>C11</f>
        <v>53817584</v>
      </c>
      <c r="D12" s="9">
        <f t="shared" ref="D12:M12" si="2">D11</f>
        <v>47613265</v>
      </c>
      <c r="E12" s="9">
        <f t="shared" si="2"/>
        <v>50125443</v>
      </c>
      <c r="F12" s="9">
        <f t="shared" si="2"/>
        <v>45112069</v>
      </c>
      <c r="G12" s="9">
        <f t="shared" si="2"/>
        <v>39588698</v>
      </c>
      <c r="H12" s="9">
        <f t="shared" si="2"/>
        <v>39352376</v>
      </c>
      <c r="I12" s="9">
        <f t="shared" si="2"/>
        <v>38560682</v>
      </c>
      <c r="J12" s="9">
        <f t="shared" si="2"/>
        <v>40837044</v>
      </c>
      <c r="K12" s="9">
        <f t="shared" si="2"/>
        <v>39037582</v>
      </c>
      <c r="L12" s="9">
        <f t="shared" si="2"/>
        <v>44459526</v>
      </c>
      <c r="M12" s="9">
        <f t="shared" si="2"/>
        <v>47488131</v>
      </c>
      <c r="N12" s="9">
        <f t="shared" ref="N12" si="3">N11</f>
        <v>49984114</v>
      </c>
    </row>
  </sheetData>
  <mergeCells count="6">
    <mergeCell ref="A12:B12"/>
    <mergeCell ref="A2:N2"/>
    <mergeCell ref="A4:A10"/>
    <mergeCell ref="B4:N4"/>
    <mergeCell ref="B9:N9"/>
    <mergeCell ref="A11:B1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2"/>
  <sheetViews>
    <sheetView zoomScale="85" zoomScaleNormal="85" workbookViewId="0">
      <selection activeCell="N5" sqref="N5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4" width="24.28515625" style="1" customWidth="1"/>
    <col min="15" max="16384" width="9.140625" style="1"/>
  </cols>
  <sheetData>
    <row r="2" spans="1:14" ht="42.75" customHeight="1" x14ac:dyDescent="0.25">
      <c r="A2" s="54" t="s">
        <v>27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spans="1:14" s="5" customFormat="1" ht="33" customHeight="1" x14ac:dyDescent="0.25">
      <c r="A3" s="2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</row>
    <row r="4" spans="1:14" ht="22.5" customHeight="1" x14ac:dyDescent="0.25">
      <c r="A4" s="55" t="s">
        <v>26</v>
      </c>
      <c r="B4" s="57" t="s">
        <v>20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9"/>
    </row>
    <row r="5" spans="1:14" ht="22.5" customHeight="1" x14ac:dyDescent="0.25">
      <c r="A5" s="56"/>
      <c r="B5" s="6" t="s">
        <v>14</v>
      </c>
      <c r="C5" s="7">
        <v>45636211</v>
      </c>
      <c r="D5" s="7">
        <v>39083675</v>
      </c>
      <c r="E5" s="7">
        <f>37540264+3186513</f>
        <v>40726777</v>
      </c>
      <c r="F5" s="7">
        <v>35416504</v>
      </c>
      <c r="G5" s="7">
        <v>33971174</v>
      </c>
      <c r="H5" s="7">
        <v>35168608</v>
      </c>
      <c r="I5" s="7">
        <v>37818165</v>
      </c>
      <c r="J5" s="7">
        <f>34097487+3037196</f>
        <v>37134683</v>
      </c>
      <c r="K5" s="7">
        <v>37191657</v>
      </c>
      <c r="L5" s="7">
        <v>40412579</v>
      </c>
      <c r="M5" s="7">
        <v>40930238</v>
      </c>
      <c r="N5" s="7">
        <v>49155940</v>
      </c>
    </row>
    <row r="6" spans="1:14" ht="22.5" customHeight="1" x14ac:dyDescent="0.25">
      <c r="A6" s="56"/>
      <c r="B6" s="6" t="s">
        <v>15</v>
      </c>
      <c r="C6" s="7">
        <v>860535</v>
      </c>
      <c r="D6" s="7">
        <v>940916</v>
      </c>
      <c r="E6" s="7">
        <v>1005867</v>
      </c>
      <c r="F6" s="7">
        <v>950758</v>
      </c>
      <c r="G6" s="7">
        <v>652170</v>
      </c>
      <c r="H6" s="7">
        <v>754689</v>
      </c>
      <c r="I6" s="7">
        <v>622769</v>
      </c>
      <c r="J6" s="7">
        <v>718268</v>
      </c>
      <c r="K6" s="7">
        <v>755294</v>
      </c>
      <c r="L6" s="7">
        <v>858824</v>
      </c>
      <c r="M6" s="7">
        <v>1026559</v>
      </c>
      <c r="N6" s="7">
        <v>1071110</v>
      </c>
    </row>
    <row r="7" spans="1:14" ht="22.5" customHeight="1" x14ac:dyDescent="0.25">
      <c r="A7" s="56"/>
      <c r="B7" s="6" t="s">
        <v>16</v>
      </c>
      <c r="C7" s="7">
        <v>4491410</v>
      </c>
      <c r="D7" s="7">
        <v>4233395</v>
      </c>
      <c r="E7" s="7">
        <v>3592561</v>
      </c>
      <c r="F7" s="7">
        <v>3051453</v>
      </c>
      <c r="G7" s="7">
        <v>2237410</v>
      </c>
      <c r="H7" s="7">
        <v>2113603</v>
      </c>
      <c r="I7" s="7">
        <v>2065826</v>
      </c>
      <c r="J7" s="7">
        <v>2323273</v>
      </c>
      <c r="K7" s="7">
        <v>2286921</v>
      </c>
      <c r="L7" s="7">
        <v>2992295</v>
      </c>
      <c r="M7" s="7">
        <v>4866252</v>
      </c>
      <c r="N7" s="7">
        <v>4094211</v>
      </c>
    </row>
    <row r="8" spans="1:14" ht="22.5" customHeight="1" x14ac:dyDescent="0.25">
      <c r="A8" s="56"/>
      <c r="B8" s="6" t="s">
        <v>17</v>
      </c>
      <c r="C8" s="7">
        <v>947672</v>
      </c>
      <c r="D8" s="7">
        <v>918327</v>
      </c>
      <c r="E8" s="7">
        <v>788773</v>
      </c>
      <c r="F8" s="7">
        <v>759095</v>
      </c>
      <c r="G8" s="7">
        <v>600828</v>
      </c>
      <c r="H8" s="7">
        <v>635801</v>
      </c>
      <c r="I8" s="7">
        <v>641673</v>
      </c>
      <c r="J8" s="7">
        <v>700886</v>
      </c>
      <c r="K8" s="7">
        <v>685828</v>
      </c>
      <c r="L8" s="7">
        <v>720086</v>
      </c>
      <c r="M8" s="7">
        <v>830883</v>
      </c>
      <c r="N8" s="7">
        <v>838440</v>
      </c>
    </row>
    <row r="9" spans="1:14" ht="22.5" customHeight="1" x14ac:dyDescent="0.25">
      <c r="A9" s="56"/>
      <c r="B9" s="57" t="s">
        <v>21</v>
      </c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9"/>
    </row>
    <row r="10" spans="1:14" ht="22.5" customHeight="1" x14ac:dyDescent="0.25">
      <c r="A10" s="56"/>
      <c r="B10" s="8"/>
      <c r="C10" s="7">
        <v>668640</v>
      </c>
      <c r="D10" s="7">
        <v>618396</v>
      </c>
      <c r="E10" s="7">
        <v>557936</v>
      </c>
      <c r="F10" s="7">
        <v>612804</v>
      </c>
      <c r="G10" s="7">
        <v>791302</v>
      </c>
      <c r="H10" s="7">
        <v>802358</v>
      </c>
      <c r="I10" s="7">
        <v>819411</v>
      </c>
      <c r="J10" s="7">
        <v>853296</v>
      </c>
      <c r="K10" s="7">
        <v>927718</v>
      </c>
      <c r="L10" s="7">
        <v>868266</v>
      </c>
      <c r="M10" s="7">
        <v>625807</v>
      </c>
      <c r="N10" s="7">
        <v>621069</v>
      </c>
    </row>
    <row r="11" spans="1:14" ht="22.5" customHeight="1" x14ac:dyDescent="0.25">
      <c r="A11" s="52" t="s">
        <v>18</v>
      </c>
      <c r="B11" s="53"/>
      <c r="C11" s="9">
        <f t="shared" ref="C11:N11" si="0">SUM(C5:C8,C10)</f>
        <v>52604468</v>
      </c>
      <c r="D11" s="9">
        <f t="shared" si="0"/>
        <v>45794709</v>
      </c>
      <c r="E11" s="9">
        <f t="shared" si="0"/>
        <v>46671914</v>
      </c>
      <c r="F11" s="9">
        <f t="shared" si="0"/>
        <v>40790614</v>
      </c>
      <c r="G11" s="9">
        <f t="shared" si="0"/>
        <v>38252884</v>
      </c>
      <c r="H11" s="9">
        <f t="shared" si="0"/>
        <v>39475059</v>
      </c>
      <c r="I11" s="9">
        <f t="shared" si="0"/>
        <v>41967844</v>
      </c>
      <c r="J11" s="9">
        <f t="shared" si="0"/>
        <v>41730406</v>
      </c>
      <c r="K11" s="9">
        <f t="shared" si="0"/>
        <v>41847418</v>
      </c>
      <c r="L11" s="9">
        <f t="shared" si="0"/>
        <v>45852050</v>
      </c>
      <c r="M11" s="9">
        <f t="shared" si="0"/>
        <v>48279739</v>
      </c>
      <c r="N11" s="9">
        <f t="shared" si="0"/>
        <v>55780770</v>
      </c>
    </row>
    <row r="12" spans="1:14" s="10" customFormat="1" ht="22.5" customHeight="1" x14ac:dyDescent="0.2">
      <c r="A12" s="52" t="s">
        <v>19</v>
      </c>
      <c r="B12" s="53"/>
      <c r="C12" s="9">
        <f>C11</f>
        <v>52604468</v>
      </c>
      <c r="D12" s="9">
        <f t="shared" ref="D12:N12" si="1">D11</f>
        <v>45794709</v>
      </c>
      <c r="E12" s="9">
        <f t="shared" si="1"/>
        <v>46671914</v>
      </c>
      <c r="F12" s="9">
        <f t="shared" si="1"/>
        <v>40790614</v>
      </c>
      <c r="G12" s="9">
        <f t="shared" si="1"/>
        <v>38252884</v>
      </c>
      <c r="H12" s="9">
        <f t="shared" si="1"/>
        <v>39475059</v>
      </c>
      <c r="I12" s="9">
        <f t="shared" si="1"/>
        <v>41967844</v>
      </c>
      <c r="J12" s="9">
        <f t="shared" si="1"/>
        <v>41730406</v>
      </c>
      <c r="K12" s="9">
        <f t="shared" si="1"/>
        <v>41847418</v>
      </c>
      <c r="L12" s="9">
        <f t="shared" si="1"/>
        <v>45852050</v>
      </c>
      <c r="M12" s="9">
        <f t="shared" si="1"/>
        <v>48279739</v>
      </c>
      <c r="N12" s="9">
        <f t="shared" si="1"/>
        <v>55780770</v>
      </c>
    </row>
  </sheetData>
  <mergeCells count="6">
    <mergeCell ref="A12:B12"/>
    <mergeCell ref="A2:N2"/>
    <mergeCell ref="A4:A10"/>
    <mergeCell ref="B4:N4"/>
    <mergeCell ref="B9:N9"/>
    <mergeCell ref="A11:B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7"/>
  <sheetViews>
    <sheetView topLeftCell="A2" zoomScale="70" zoomScaleNormal="70" workbookViewId="0">
      <selection activeCell="E29" sqref="E29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4" width="24.28515625" style="1" customWidth="1"/>
    <col min="15" max="16384" width="9.140625" style="1"/>
  </cols>
  <sheetData>
    <row r="2" spans="1:14" ht="42.75" customHeight="1" x14ac:dyDescent="0.25">
      <c r="A2" s="54" t="s">
        <v>28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spans="1:14" s="5" customFormat="1" ht="33" customHeight="1" x14ac:dyDescent="0.25">
      <c r="A3" s="2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</row>
    <row r="4" spans="1:14" ht="22.5" customHeight="1" x14ac:dyDescent="0.25">
      <c r="A4" s="55" t="s">
        <v>33</v>
      </c>
      <c r="B4" s="57" t="s">
        <v>20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9"/>
    </row>
    <row r="5" spans="1:14" ht="22.5" customHeight="1" x14ac:dyDescent="0.25">
      <c r="A5" s="56"/>
      <c r="B5" s="6" t="s">
        <v>14</v>
      </c>
      <c r="C5" s="7">
        <f>46798842+2650779</f>
        <v>49449621</v>
      </c>
      <c r="D5" s="7">
        <f>41503748+866865+3841588</f>
        <v>46212201</v>
      </c>
      <c r="E5" s="7">
        <f>44175760+3952770</f>
        <v>48128530</v>
      </c>
      <c r="F5" s="7">
        <f>38288334+3722462</f>
        <v>42010796</v>
      </c>
      <c r="G5" s="7">
        <f>36000036+3388253</f>
        <v>39388289</v>
      </c>
      <c r="H5" s="7">
        <f>34835108+3589016</f>
        <v>38424124</v>
      </c>
      <c r="I5" s="7">
        <f>34452382+2534370</f>
        <v>36986752</v>
      </c>
      <c r="J5" s="7">
        <f>34908811+4362772</f>
        <v>39271583</v>
      </c>
      <c r="K5" s="7">
        <f>34498334+4179521</f>
        <v>38677855</v>
      </c>
      <c r="L5" s="7">
        <f>39689159+4970311</f>
        <v>44659470</v>
      </c>
      <c r="M5" s="7">
        <f>40809479+4724061</f>
        <v>45533540</v>
      </c>
      <c r="N5" s="7">
        <f>45298940+4736423</f>
        <v>50035363</v>
      </c>
    </row>
    <row r="6" spans="1:14" ht="22.5" customHeight="1" x14ac:dyDescent="0.25">
      <c r="A6" s="56"/>
      <c r="B6" s="6" t="s">
        <v>15</v>
      </c>
      <c r="C6" s="7">
        <f>1034984+39054</f>
        <v>1074038</v>
      </c>
      <c r="D6" s="7">
        <f>999233+41285</f>
        <v>1040518</v>
      </c>
      <c r="E6" s="7">
        <v>938645</v>
      </c>
      <c r="F6" s="7">
        <v>800560</v>
      </c>
      <c r="G6" s="7">
        <f>639261+34082</f>
        <v>673343</v>
      </c>
      <c r="H6" s="7">
        <v>637528</v>
      </c>
      <c r="I6" s="7">
        <v>394061</v>
      </c>
      <c r="J6" s="7">
        <v>710846</v>
      </c>
      <c r="K6" s="7">
        <v>702200</v>
      </c>
      <c r="L6" s="7">
        <v>888863</v>
      </c>
      <c r="M6" s="7">
        <v>951697</v>
      </c>
      <c r="N6" s="7">
        <v>919095</v>
      </c>
    </row>
    <row r="7" spans="1:14" ht="22.5" customHeight="1" x14ac:dyDescent="0.25">
      <c r="A7" s="56"/>
      <c r="B7" s="6" t="s">
        <v>16</v>
      </c>
      <c r="C7" s="7">
        <f>4280485+271485</f>
        <v>4551970</v>
      </c>
      <c r="D7" s="7">
        <f>3953598+189102</f>
        <v>4142700</v>
      </c>
      <c r="E7" s="7">
        <f>3160115+66455</f>
        <v>3226570</v>
      </c>
      <c r="F7" s="7">
        <f>3036159+80601</f>
        <v>3116760</v>
      </c>
      <c r="G7" s="7">
        <f>2339131+127396</f>
        <v>2466527</v>
      </c>
      <c r="H7" s="7">
        <f>2532429+96796</f>
        <v>2629225</v>
      </c>
      <c r="I7" s="7">
        <f>2278202+32824+29600</f>
        <v>2340626</v>
      </c>
      <c r="J7" s="7">
        <f>2303791+144228</f>
        <v>2448019</v>
      </c>
      <c r="K7" s="7">
        <f>2105883+66979</f>
        <v>2172862</v>
      </c>
      <c r="L7" s="7">
        <f>2584459+110567</f>
        <v>2695026</v>
      </c>
      <c r="M7" s="7">
        <f>3323402+221061</f>
        <v>3544463</v>
      </c>
      <c r="N7" s="7">
        <f>3064489+189324</f>
        <v>3253813</v>
      </c>
    </row>
    <row r="8" spans="1:14" ht="22.5" customHeight="1" x14ac:dyDescent="0.25">
      <c r="A8" s="56"/>
      <c r="B8" s="6" t="s">
        <v>17</v>
      </c>
      <c r="C8" s="7">
        <f>854410+26123</f>
        <v>880533</v>
      </c>
      <c r="D8" s="7">
        <f>782466+15232</f>
        <v>797698</v>
      </c>
      <c r="E8" s="7">
        <f>678511+5020</f>
        <v>683531</v>
      </c>
      <c r="F8" s="7">
        <f>696353+4642</f>
        <v>700995</v>
      </c>
      <c r="G8" s="7">
        <f>631782+5638</f>
        <v>637420</v>
      </c>
      <c r="H8" s="7">
        <f>603262+4641</f>
        <v>607903</v>
      </c>
      <c r="I8" s="7">
        <f>536633+394+4464</f>
        <v>541491</v>
      </c>
      <c r="J8" s="7">
        <f>504161+15291</f>
        <v>519452</v>
      </c>
      <c r="K8" s="7">
        <f>595955+5960</f>
        <v>601915</v>
      </c>
      <c r="L8" s="7">
        <f>572312+9254</f>
        <v>581566</v>
      </c>
      <c r="M8" s="7">
        <f>592336+14489</f>
        <v>606825</v>
      </c>
      <c r="N8" s="7">
        <f>587863+13379</f>
        <v>601242</v>
      </c>
    </row>
    <row r="9" spans="1:14" ht="22.5" customHeight="1" x14ac:dyDescent="0.25">
      <c r="A9" s="56"/>
      <c r="B9" s="57" t="s">
        <v>21</v>
      </c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9"/>
    </row>
    <row r="10" spans="1:14" ht="22.5" customHeight="1" x14ac:dyDescent="0.25">
      <c r="A10" s="56"/>
      <c r="B10" s="8"/>
      <c r="C10" s="7">
        <f>649683+21631</f>
        <v>671314</v>
      </c>
      <c r="D10" s="7">
        <f>637838+22855</f>
        <v>660693</v>
      </c>
      <c r="E10" s="7">
        <f>539167+17161</f>
        <v>556328</v>
      </c>
      <c r="F10" s="7">
        <f>618699+29940</f>
        <v>648639</v>
      </c>
      <c r="G10" s="7">
        <v>871949</v>
      </c>
      <c r="H10" s="7">
        <f>1001695+62557</f>
        <v>1064252</v>
      </c>
      <c r="I10" s="7">
        <f>880172+103044</f>
        <v>983216</v>
      </c>
      <c r="J10" s="7">
        <f>747801+63388</f>
        <v>811189</v>
      </c>
      <c r="K10" s="7">
        <f>757730+30804</f>
        <v>788534</v>
      </c>
      <c r="L10" s="7">
        <f>688851+61608</f>
        <v>750459</v>
      </c>
      <c r="M10" s="7">
        <f>570252+70859</f>
        <v>641111</v>
      </c>
      <c r="N10" s="7">
        <f>457953+17606</f>
        <v>475559</v>
      </c>
    </row>
    <row r="11" spans="1:14" ht="22.5" customHeight="1" x14ac:dyDescent="0.25">
      <c r="A11" s="52" t="s">
        <v>18</v>
      </c>
      <c r="B11" s="53"/>
      <c r="C11" s="9">
        <f t="shared" ref="C11:N11" si="0">SUM(C5:C8,C10)</f>
        <v>56627476</v>
      </c>
      <c r="D11" s="9">
        <f t="shared" si="0"/>
        <v>52853810</v>
      </c>
      <c r="E11" s="9">
        <f t="shared" si="0"/>
        <v>53533604</v>
      </c>
      <c r="F11" s="9">
        <f t="shared" si="0"/>
        <v>47277750</v>
      </c>
      <c r="G11" s="9">
        <f t="shared" ref="G11" si="1">SUM(G5:G8,G10)</f>
        <v>44037528</v>
      </c>
      <c r="H11" s="9">
        <f t="shared" si="0"/>
        <v>43363032</v>
      </c>
      <c r="I11" s="9">
        <f t="shared" ref="I11:J11" si="2">SUM(I5:I8,I10)</f>
        <v>41246146</v>
      </c>
      <c r="J11" s="9">
        <f t="shared" si="2"/>
        <v>43761089</v>
      </c>
      <c r="K11" s="9">
        <f t="shared" ref="K11" si="3">SUM(K5:K8,K10)</f>
        <v>42943366</v>
      </c>
      <c r="L11" s="9">
        <f t="shared" si="0"/>
        <v>49575384</v>
      </c>
      <c r="M11" s="9">
        <f t="shared" si="0"/>
        <v>51277636</v>
      </c>
      <c r="N11" s="9">
        <f t="shared" si="0"/>
        <v>55285072</v>
      </c>
    </row>
    <row r="12" spans="1:14" ht="33.75" customHeight="1" x14ac:dyDescent="0.25">
      <c r="A12" s="60" t="s">
        <v>29</v>
      </c>
      <c r="B12" s="6" t="s">
        <v>16</v>
      </c>
      <c r="C12" s="7">
        <v>110961</v>
      </c>
      <c r="D12" s="7">
        <v>83598</v>
      </c>
      <c r="E12" s="7">
        <v>83598</v>
      </c>
      <c r="F12" s="7">
        <v>91953</v>
      </c>
      <c r="G12" s="7">
        <v>68154</v>
      </c>
      <c r="H12" s="7">
        <v>65840</v>
      </c>
      <c r="I12" s="7">
        <v>48439</v>
      </c>
      <c r="J12" s="7">
        <v>50359</v>
      </c>
      <c r="K12" s="7">
        <v>64216</v>
      </c>
      <c r="L12" s="7">
        <v>97104</v>
      </c>
      <c r="M12" s="7">
        <v>88283</v>
      </c>
      <c r="N12" s="7">
        <v>100964</v>
      </c>
    </row>
    <row r="13" spans="1:14" ht="33.75" customHeight="1" x14ac:dyDescent="0.25">
      <c r="A13" s="61"/>
      <c r="B13" s="6" t="s">
        <v>17</v>
      </c>
      <c r="C13" s="7">
        <v>83326</v>
      </c>
      <c r="D13" s="7">
        <v>58580</v>
      </c>
      <c r="E13" s="7">
        <v>58580</v>
      </c>
      <c r="F13" s="7">
        <v>62184</v>
      </c>
      <c r="G13" s="7">
        <v>54266</v>
      </c>
      <c r="H13" s="7">
        <v>51181</v>
      </c>
      <c r="I13" s="7">
        <v>42406</v>
      </c>
      <c r="J13" s="7">
        <v>47800</v>
      </c>
      <c r="K13" s="7">
        <v>42008</v>
      </c>
      <c r="L13" s="7">
        <v>51451</v>
      </c>
      <c r="M13" s="7">
        <v>50708</v>
      </c>
      <c r="N13" s="7">
        <v>62497</v>
      </c>
    </row>
    <row r="14" spans="1:14" ht="33.75" customHeight="1" x14ac:dyDescent="0.25">
      <c r="A14" s="62"/>
      <c r="B14" s="57" t="s">
        <v>21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9"/>
    </row>
    <row r="15" spans="1:14" ht="22.5" customHeight="1" x14ac:dyDescent="0.25">
      <c r="A15" s="15"/>
      <c r="B15" s="16"/>
      <c r="C15" s="7">
        <v>101780</v>
      </c>
      <c r="D15" s="7">
        <v>81795</v>
      </c>
      <c r="E15" s="7">
        <v>81795</v>
      </c>
      <c r="F15" s="7">
        <v>91055</v>
      </c>
      <c r="G15" s="7">
        <v>87575</v>
      </c>
      <c r="H15" s="7">
        <v>101777</v>
      </c>
      <c r="I15" s="7">
        <v>74125</v>
      </c>
      <c r="J15" s="7">
        <v>66795</v>
      </c>
      <c r="K15" s="7">
        <v>83716</v>
      </c>
      <c r="L15" s="7">
        <v>84170</v>
      </c>
      <c r="M15" s="7">
        <v>88378</v>
      </c>
      <c r="N15" s="7">
        <v>86940</v>
      </c>
    </row>
    <row r="16" spans="1:14" ht="22.5" customHeight="1" x14ac:dyDescent="0.25">
      <c r="A16" s="52" t="s">
        <v>18</v>
      </c>
      <c r="B16" s="53"/>
      <c r="C16" s="9">
        <f>SUM(C12:C13,C15)</f>
        <v>296067</v>
      </c>
      <c r="D16" s="9">
        <f t="shared" ref="D16:N16" si="4">SUM(D12:D13,D15)</f>
        <v>223973</v>
      </c>
      <c r="E16" s="9">
        <f t="shared" si="4"/>
        <v>223973</v>
      </c>
      <c r="F16" s="9">
        <f t="shared" si="4"/>
        <v>245192</v>
      </c>
      <c r="G16" s="9">
        <f t="shared" si="4"/>
        <v>209995</v>
      </c>
      <c r="H16" s="9">
        <f t="shared" si="4"/>
        <v>218798</v>
      </c>
      <c r="I16" s="9">
        <f t="shared" si="4"/>
        <v>164970</v>
      </c>
      <c r="J16" s="9">
        <f t="shared" si="4"/>
        <v>164954</v>
      </c>
      <c r="K16" s="9">
        <f t="shared" ref="K16" si="5">SUM(K12:K13,K15)</f>
        <v>189940</v>
      </c>
      <c r="L16" s="9">
        <f t="shared" si="4"/>
        <v>232725</v>
      </c>
      <c r="M16" s="9">
        <f t="shared" si="4"/>
        <v>227369</v>
      </c>
      <c r="N16" s="9">
        <f t="shared" si="4"/>
        <v>250401</v>
      </c>
    </row>
    <row r="17" spans="1:14" s="10" customFormat="1" ht="22.5" customHeight="1" x14ac:dyDescent="0.2">
      <c r="A17" s="52" t="s">
        <v>19</v>
      </c>
      <c r="B17" s="53"/>
      <c r="C17" s="9">
        <f>C11+C16</f>
        <v>56923543</v>
      </c>
      <c r="D17" s="9">
        <f t="shared" ref="D17:N17" si="6">D11+D16</f>
        <v>53077783</v>
      </c>
      <c r="E17" s="9">
        <f t="shared" si="6"/>
        <v>53757577</v>
      </c>
      <c r="F17" s="9">
        <f t="shared" si="6"/>
        <v>47522942</v>
      </c>
      <c r="G17" s="9">
        <f t="shared" si="6"/>
        <v>44247523</v>
      </c>
      <c r="H17" s="9">
        <f t="shared" si="6"/>
        <v>43581830</v>
      </c>
      <c r="I17" s="9">
        <f t="shared" si="6"/>
        <v>41411116</v>
      </c>
      <c r="J17" s="9">
        <f t="shared" si="6"/>
        <v>43926043</v>
      </c>
      <c r="K17" s="9">
        <f t="shared" ref="K17" si="7">K11+K16</f>
        <v>43133306</v>
      </c>
      <c r="L17" s="9">
        <f t="shared" si="6"/>
        <v>49808109</v>
      </c>
      <c r="M17" s="9">
        <f t="shared" si="6"/>
        <v>51505005</v>
      </c>
      <c r="N17" s="9">
        <f t="shared" si="6"/>
        <v>55535473</v>
      </c>
    </row>
  </sheetData>
  <mergeCells count="9">
    <mergeCell ref="A17:B17"/>
    <mergeCell ref="A2:N2"/>
    <mergeCell ref="A4:A10"/>
    <mergeCell ref="B4:N4"/>
    <mergeCell ref="B9:N9"/>
    <mergeCell ref="A11:B11"/>
    <mergeCell ref="A12:A14"/>
    <mergeCell ref="B14:N14"/>
    <mergeCell ref="A16:B1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4"/>
  <sheetViews>
    <sheetView zoomScale="70" zoomScaleNormal="70" workbookViewId="0">
      <selection activeCell="A4" sqref="A4:A10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4" width="24.28515625" style="1" customWidth="1"/>
    <col min="15" max="15" width="9.140625" style="1"/>
    <col min="16" max="16" width="10.7109375" style="1" bestFit="1" customWidth="1"/>
    <col min="17" max="16384" width="9.140625" style="1"/>
  </cols>
  <sheetData>
    <row r="2" spans="1:16" ht="42.75" customHeight="1" x14ac:dyDescent="0.25">
      <c r="A2" s="54" t="s">
        <v>30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spans="1:16" s="5" customFormat="1" ht="33" customHeight="1" x14ac:dyDescent="0.25">
      <c r="A3" s="2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</row>
    <row r="4" spans="1:16" ht="22.5" customHeight="1" x14ac:dyDescent="0.25">
      <c r="A4" s="55" t="s">
        <v>33</v>
      </c>
      <c r="B4" s="57" t="s">
        <v>20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9"/>
    </row>
    <row r="5" spans="1:16" ht="22.5" customHeight="1" x14ac:dyDescent="0.25">
      <c r="A5" s="56"/>
      <c r="B5" s="6" t="s">
        <v>14</v>
      </c>
      <c r="C5" s="7">
        <f>45599964+3245682</f>
        <v>48845646</v>
      </c>
      <c r="D5" s="7">
        <f>43430000+4362823</f>
        <v>47792823</v>
      </c>
      <c r="E5" s="7">
        <f>47545176+4735026</f>
        <v>52280202</v>
      </c>
      <c r="F5" s="7">
        <v>43070163</v>
      </c>
      <c r="G5" s="7">
        <f>37393669+3465468</f>
        <v>40859137</v>
      </c>
      <c r="H5" s="7">
        <f>37941881+3879790</f>
        <v>41821671</v>
      </c>
      <c r="I5" s="7">
        <f>37642972+2835961</f>
        <v>40478933</v>
      </c>
      <c r="J5" s="7">
        <f>37505150+4559013</f>
        <v>42064163</v>
      </c>
      <c r="K5" s="7">
        <f>35615555+4623378</f>
        <v>40238933</v>
      </c>
      <c r="L5" s="7">
        <f>41266552+5191727</f>
        <v>46458279</v>
      </c>
      <c r="M5" s="7">
        <f>44413393+5055706</f>
        <v>49469099</v>
      </c>
      <c r="N5" s="7">
        <f>49824351+5108453</f>
        <v>54932804</v>
      </c>
      <c r="P5" s="19"/>
    </row>
    <row r="6" spans="1:16" ht="22.5" customHeight="1" x14ac:dyDescent="0.25">
      <c r="A6" s="56"/>
      <c r="B6" s="6" t="s">
        <v>15</v>
      </c>
      <c r="C6" s="7">
        <f>960536</f>
        <v>960536</v>
      </c>
      <c r="D6" s="7">
        <v>987126</v>
      </c>
      <c r="E6" s="7">
        <v>1065781</v>
      </c>
      <c r="F6" s="7">
        <v>988795</v>
      </c>
      <c r="G6" s="7">
        <f>862661+35878</f>
        <v>898539</v>
      </c>
      <c r="H6" s="7">
        <v>950308</v>
      </c>
      <c r="I6" s="7">
        <v>430574</v>
      </c>
      <c r="J6" s="7">
        <v>398683</v>
      </c>
      <c r="K6" s="7">
        <v>395292</v>
      </c>
      <c r="L6" s="7">
        <v>516284</v>
      </c>
      <c r="M6" s="7">
        <v>626749</v>
      </c>
      <c r="N6" s="7">
        <v>748054</v>
      </c>
      <c r="P6" s="19"/>
    </row>
    <row r="7" spans="1:16" ht="22.5" customHeight="1" x14ac:dyDescent="0.25">
      <c r="A7" s="56"/>
      <c r="B7" s="6" t="s">
        <v>16</v>
      </c>
      <c r="C7" s="7">
        <f>3755303+302399</f>
        <v>4057702</v>
      </c>
      <c r="D7" s="7">
        <f>3462247+263158</f>
        <v>3725405</v>
      </c>
      <c r="E7" s="7">
        <f>3732772+186252</f>
        <v>3919024</v>
      </c>
      <c r="F7" s="7">
        <v>3131585</v>
      </c>
      <c r="G7" s="7">
        <f>2021893+219830</f>
        <v>2241723</v>
      </c>
      <c r="H7" s="7">
        <f>1818020+177134</f>
        <v>1995154</v>
      </c>
      <c r="I7" s="7">
        <f>2153344+161903</f>
        <v>2315247</v>
      </c>
      <c r="J7" s="7">
        <f>1972364+162529</f>
        <v>2134893</v>
      </c>
      <c r="K7" s="7">
        <f>2369696+170763</f>
        <v>2540459</v>
      </c>
      <c r="L7" s="7">
        <f>2800374+173665</f>
        <v>2974039</v>
      </c>
      <c r="M7" s="7">
        <f>3438922+237511</f>
        <v>3676433</v>
      </c>
      <c r="N7" s="7">
        <f>3304826+197874</f>
        <v>3502700</v>
      </c>
      <c r="P7" s="19"/>
    </row>
    <row r="8" spans="1:16" ht="22.5" customHeight="1" x14ac:dyDescent="0.25">
      <c r="A8" s="56"/>
      <c r="B8" s="6" t="s">
        <v>17</v>
      </c>
      <c r="C8" s="7">
        <f>751603+14002</f>
        <v>765605</v>
      </c>
      <c r="D8" s="7">
        <f>681229+13854</f>
        <v>695083</v>
      </c>
      <c r="E8" s="7">
        <f>682589+13988</f>
        <v>696577</v>
      </c>
      <c r="F8" s="7">
        <v>579570</v>
      </c>
      <c r="G8" s="7">
        <f>457879+15341</f>
        <v>473220</v>
      </c>
      <c r="H8" s="7">
        <f>435202+13303</f>
        <v>448505</v>
      </c>
      <c r="I8" s="7">
        <f>473531+15043</f>
        <v>488574</v>
      </c>
      <c r="J8" s="7">
        <f>453050+14446</f>
        <v>467496</v>
      </c>
      <c r="K8" s="7">
        <f>454588+14198</f>
        <v>468786</v>
      </c>
      <c r="L8" s="7">
        <f>506086+13422</f>
        <v>519508</v>
      </c>
      <c r="M8" s="7">
        <f>620584+18840</f>
        <v>639424</v>
      </c>
      <c r="N8" s="7">
        <f>630096+8622</f>
        <v>638718</v>
      </c>
      <c r="P8" s="19"/>
    </row>
    <row r="9" spans="1:16" ht="22.5" customHeight="1" x14ac:dyDescent="0.25">
      <c r="A9" s="56"/>
      <c r="B9" s="57" t="s">
        <v>21</v>
      </c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9"/>
      <c r="P9" s="19"/>
    </row>
    <row r="10" spans="1:16" ht="22.5" customHeight="1" x14ac:dyDescent="0.25">
      <c r="A10" s="56"/>
      <c r="B10" s="8"/>
      <c r="C10" s="7">
        <f>595738+21518</f>
        <v>617256</v>
      </c>
      <c r="D10" s="7">
        <f>557179+21061</f>
        <v>578240</v>
      </c>
      <c r="E10" s="7">
        <f>525531+18022</f>
        <v>543553</v>
      </c>
      <c r="F10" s="7">
        <v>682884</v>
      </c>
      <c r="G10" s="7">
        <f>909630+434513</f>
        <v>1344143</v>
      </c>
      <c r="H10" s="7">
        <f>828077+72488</f>
        <v>900565</v>
      </c>
      <c r="I10" s="7">
        <f>768575+55500</f>
        <v>824075</v>
      </c>
      <c r="J10" s="7">
        <f>786837+58373</f>
        <v>845210</v>
      </c>
      <c r="K10" s="7">
        <f>731849+48549</f>
        <v>780398</v>
      </c>
      <c r="L10" s="7">
        <f>741149+76877</f>
        <v>818026</v>
      </c>
      <c r="M10" s="7">
        <f>591685+52497</f>
        <v>644182</v>
      </c>
      <c r="N10" s="7">
        <f>565808+18865</f>
        <v>584673</v>
      </c>
      <c r="P10" s="19"/>
    </row>
    <row r="11" spans="1:16" ht="22.5" customHeight="1" x14ac:dyDescent="0.25">
      <c r="A11" s="52" t="s">
        <v>18</v>
      </c>
      <c r="B11" s="53"/>
      <c r="C11" s="9">
        <f t="shared" ref="C11:N11" si="0">SUM(C5:C8,C10)</f>
        <v>55246745</v>
      </c>
      <c r="D11" s="9">
        <f t="shared" si="0"/>
        <v>53778677</v>
      </c>
      <c r="E11" s="9">
        <f t="shared" si="0"/>
        <v>58505137</v>
      </c>
      <c r="F11" s="9">
        <f t="shared" si="0"/>
        <v>48452997</v>
      </c>
      <c r="G11" s="9">
        <f t="shared" si="0"/>
        <v>45816762</v>
      </c>
      <c r="H11" s="9">
        <f t="shared" si="0"/>
        <v>46116203</v>
      </c>
      <c r="I11" s="9">
        <f t="shared" si="0"/>
        <v>44537403</v>
      </c>
      <c r="J11" s="9">
        <f t="shared" si="0"/>
        <v>45910445</v>
      </c>
      <c r="K11" s="9">
        <f t="shared" si="0"/>
        <v>44423868</v>
      </c>
      <c r="L11" s="9">
        <f t="shared" si="0"/>
        <v>51286136</v>
      </c>
      <c r="M11" s="9">
        <f t="shared" si="0"/>
        <v>55055887</v>
      </c>
      <c r="N11" s="9">
        <f t="shared" si="0"/>
        <v>60406949</v>
      </c>
      <c r="P11" s="19"/>
    </row>
    <row r="12" spans="1:16" ht="22.5" customHeight="1" x14ac:dyDescent="0.25">
      <c r="A12" s="63" t="s">
        <v>29</v>
      </c>
      <c r="B12" s="6" t="s">
        <v>15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185</v>
      </c>
      <c r="M12" s="7">
        <v>185</v>
      </c>
      <c r="N12" s="7">
        <v>0</v>
      </c>
      <c r="P12" s="19"/>
    </row>
    <row r="13" spans="1:16" ht="33.75" customHeight="1" x14ac:dyDescent="0.25">
      <c r="A13" s="64"/>
      <c r="B13" s="6" t="s">
        <v>16</v>
      </c>
      <c r="C13" s="7">
        <v>151481</v>
      </c>
      <c r="D13" s="7">
        <v>130762</v>
      </c>
      <c r="E13" s="7">
        <v>115922</v>
      </c>
      <c r="F13" s="7">
        <v>98610</v>
      </c>
      <c r="G13" s="7">
        <v>76075</v>
      </c>
      <c r="H13" s="7">
        <v>50284</v>
      </c>
      <c r="I13" s="7">
        <v>51521</v>
      </c>
      <c r="J13" s="7">
        <v>56383</v>
      </c>
      <c r="K13" s="7">
        <v>58516</v>
      </c>
      <c r="L13" s="7">
        <v>75285</v>
      </c>
      <c r="M13" s="7">
        <v>100770</v>
      </c>
      <c r="N13" s="7">
        <v>109815</v>
      </c>
      <c r="P13" s="19"/>
    </row>
    <row r="14" spans="1:16" ht="33.75" customHeight="1" x14ac:dyDescent="0.25">
      <c r="A14" s="64"/>
      <c r="B14" s="6" t="s">
        <v>17</v>
      </c>
      <c r="C14" s="7">
        <v>84643</v>
      </c>
      <c r="D14" s="7">
        <v>68991</v>
      </c>
      <c r="E14" s="7">
        <v>70379</v>
      </c>
      <c r="F14" s="7">
        <v>56136</v>
      </c>
      <c r="G14" s="7">
        <v>52792</v>
      </c>
      <c r="H14" s="7">
        <v>45557</v>
      </c>
      <c r="I14" s="7">
        <v>59734</v>
      </c>
      <c r="J14" s="7">
        <v>50650</v>
      </c>
      <c r="K14" s="7">
        <v>50997</v>
      </c>
      <c r="L14" s="7">
        <v>52845</v>
      </c>
      <c r="M14" s="7">
        <v>70571</v>
      </c>
      <c r="N14" s="7">
        <v>74031</v>
      </c>
      <c r="P14" s="19"/>
    </row>
    <row r="15" spans="1:16" ht="33.75" customHeight="1" x14ac:dyDescent="0.25">
      <c r="A15" s="65"/>
      <c r="B15" s="57" t="s">
        <v>21</v>
      </c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9"/>
      <c r="P15" s="19"/>
    </row>
    <row r="16" spans="1:16" ht="22.5" customHeight="1" x14ac:dyDescent="0.25">
      <c r="A16" s="17"/>
      <c r="B16" s="18"/>
      <c r="C16" s="7">
        <v>103872</v>
      </c>
      <c r="D16" s="7">
        <v>96101</v>
      </c>
      <c r="E16" s="7">
        <v>87738</v>
      </c>
      <c r="F16" s="7">
        <f>240302-F13-F14</f>
        <v>85556</v>
      </c>
      <c r="G16" s="7">
        <v>76592</v>
      </c>
      <c r="H16" s="7">
        <v>80664</v>
      </c>
      <c r="I16" s="7">
        <v>74671</v>
      </c>
      <c r="J16" s="7">
        <v>76268</v>
      </c>
      <c r="K16" s="7">
        <v>78169</v>
      </c>
      <c r="L16" s="7">
        <v>86682</v>
      </c>
      <c r="M16" s="7">
        <v>89142</v>
      </c>
      <c r="N16" s="7">
        <v>95090</v>
      </c>
      <c r="P16" s="19"/>
    </row>
    <row r="17" spans="1:16" ht="22.5" customHeight="1" x14ac:dyDescent="0.25">
      <c r="A17" s="52" t="s">
        <v>18</v>
      </c>
      <c r="B17" s="53"/>
      <c r="C17" s="9">
        <f>SUM(C12:C14,C16)</f>
        <v>339996</v>
      </c>
      <c r="D17" s="9">
        <f t="shared" ref="D17:N17" si="1">SUM(D12:D14,D16)</f>
        <v>295854</v>
      </c>
      <c r="E17" s="9">
        <f t="shared" si="1"/>
        <v>274039</v>
      </c>
      <c r="F17" s="9">
        <f t="shared" si="1"/>
        <v>240302</v>
      </c>
      <c r="G17" s="9">
        <f t="shared" si="1"/>
        <v>205459</v>
      </c>
      <c r="H17" s="9">
        <f t="shared" si="1"/>
        <v>176505</v>
      </c>
      <c r="I17" s="9">
        <f t="shared" si="1"/>
        <v>185926</v>
      </c>
      <c r="J17" s="9">
        <f t="shared" si="1"/>
        <v>183301</v>
      </c>
      <c r="K17" s="9">
        <f t="shared" si="1"/>
        <v>187682</v>
      </c>
      <c r="L17" s="9">
        <f t="shared" si="1"/>
        <v>214997</v>
      </c>
      <c r="M17" s="9">
        <f t="shared" si="1"/>
        <v>260668</v>
      </c>
      <c r="N17" s="9">
        <f t="shared" si="1"/>
        <v>278936</v>
      </c>
      <c r="P17" s="19"/>
    </row>
    <row r="18" spans="1:16" s="10" customFormat="1" ht="22.5" customHeight="1" x14ac:dyDescent="0.25">
      <c r="A18" s="52" t="s">
        <v>19</v>
      </c>
      <c r="B18" s="53"/>
      <c r="C18" s="9">
        <f>C11+C17</f>
        <v>55586741</v>
      </c>
      <c r="D18" s="9">
        <f t="shared" ref="D18:N18" si="2">D11+D17</f>
        <v>54074531</v>
      </c>
      <c r="E18" s="9">
        <f t="shared" si="2"/>
        <v>58779176</v>
      </c>
      <c r="F18" s="9">
        <f t="shared" si="2"/>
        <v>48693299</v>
      </c>
      <c r="G18" s="9">
        <f t="shared" si="2"/>
        <v>46022221</v>
      </c>
      <c r="H18" s="9">
        <f t="shared" si="2"/>
        <v>46292708</v>
      </c>
      <c r="I18" s="9">
        <f t="shared" si="2"/>
        <v>44723329</v>
      </c>
      <c r="J18" s="9">
        <f t="shared" si="2"/>
        <v>46093746</v>
      </c>
      <c r="K18" s="9">
        <f t="shared" si="2"/>
        <v>44611550</v>
      </c>
      <c r="L18" s="9">
        <f t="shared" si="2"/>
        <v>51501133</v>
      </c>
      <c r="M18" s="9">
        <f t="shared" si="2"/>
        <v>55316555</v>
      </c>
      <c r="N18" s="9">
        <f t="shared" si="2"/>
        <v>60685885</v>
      </c>
      <c r="P18" s="19"/>
    </row>
    <row r="20" spans="1:16" ht="22.5" customHeight="1" x14ac:dyDescent="0.25">
      <c r="G20" s="20"/>
      <c r="H20" s="20"/>
      <c r="I20" s="21"/>
      <c r="J20" s="22"/>
      <c r="K20" s="20"/>
      <c r="L20" s="20"/>
    </row>
    <row r="21" spans="1:16" ht="22.5" customHeight="1" x14ac:dyDescent="0.25">
      <c r="E21" s="19"/>
      <c r="G21" s="20"/>
      <c r="H21" s="20"/>
      <c r="I21" s="21"/>
      <c r="J21" s="22"/>
      <c r="K21" s="20"/>
      <c r="L21" s="20"/>
    </row>
    <row r="22" spans="1:16" ht="22.5" customHeight="1" x14ac:dyDescent="0.25">
      <c r="G22" s="20"/>
      <c r="H22" s="20"/>
      <c r="I22" s="21"/>
      <c r="J22" s="22"/>
      <c r="K22" s="20"/>
      <c r="L22" s="20"/>
    </row>
    <row r="23" spans="1:16" ht="22.5" customHeight="1" x14ac:dyDescent="0.25">
      <c r="G23" s="20"/>
      <c r="H23" s="20"/>
      <c r="I23" s="21"/>
      <c r="J23" s="22"/>
      <c r="K23" s="20"/>
      <c r="L23" s="20"/>
    </row>
    <row r="24" spans="1:16" ht="22.5" customHeight="1" x14ac:dyDescent="0.25">
      <c r="G24" s="20"/>
      <c r="H24" s="20"/>
      <c r="I24" s="21"/>
      <c r="J24" s="22"/>
      <c r="K24" s="20"/>
      <c r="L24" s="20"/>
    </row>
    <row r="25" spans="1:16" ht="22.5" customHeight="1" x14ac:dyDescent="0.25">
      <c r="G25" s="20"/>
      <c r="H25" s="20"/>
      <c r="I25" s="20"/>
      <c r="J25" s="20"/>
      <c r="K25" s="20"/>
      <c r="L25" s="20"/>
    </row>
    <row r="26" spans="1:16" ht="22.5" customHeight="1" x14ac:dyDescent="0.25">
      <c r="G26" s="20"/>
      <c r="H26" s="20"/>
      <c r="I26" s="20"/>
      <c r="J26" s="20"/>
      <c r="K26" s="20"/>
      <c r="L26" s="20"/>
    </row>
    <row r="27" spans="1:16" ht="22.5" customHeight="1" x14ac:dyDescent="0.25">
      <c r="G27" s="20"/>
      <c r="H27" s="20"/>
      <c r="I27" s="20"/>
      <c r="J27" s="20"/>
      <c r="K27" s="20"/>
      <c r="L27" s="20"/>
    </row>
    <row r="28" spans="1:16" ht="22.5" customHeight="1" x14ac:dyDescent="0.25">
      <c r="G28" s="20"/>
      <c r="H28" s="20"/>
      <c r="I28" s="20"/>
      <c r="J28" s="20"/>
      <c r="K28" s="20"/>
      <c r="L28" s="20"/>
    </row>
    <row r="29" spans="1:16" ht="22.5" customHeight="1" x14ac:dyDescent="0.25">
      <c r="G29" s="20"/>
      <c r="H29" s="20"/>
      <c r="I29" s="20"/>
      <c r="J29" s="20"/>
      <c r="K29" s="20"/>
      <c r="L29" s="20"/>
    </row>
    <row r="30" spans="1:16" ht="22.5" customHeight="1" x14ac:dyDescent="0.25">
      <c r="G30" s="20"/>
      <c r="H30" s="20"/>
      <c r="I30" s="20"/>
      <c r="J30" s="20"/>
      <c r="K30" s="20"/>
      <c r="L30" s="20"/>
    </row>
    <row r="31" spans="1:16" ht="22.5" customHeight="1" x14ac:dyDescent="0.25">
      <c r="G31" s="20"/>
      <c r="H31" s="20"/>
      <c r="I31" s="20"/>
      <c r="J31" s="20"/>
      <c r="K31" s="20"/>
      <c r="L31" s="20"/>
    </row>
    <row r="32" spans="1:16" ht="22.5" customHeight="1" x14ac:dyDescent="0.25">
      <c r="G32" s="20"/>
      <c r="H32" s="20"/>
      <c r="I32" s="20"/>
      <c r="J32" s="20"/>
      <c r="K32" s="20"/>
      <c r="L32" s="20"/>
    </row>
    <row r="33" spans="7:12" ht="22.5" customHeight="1" x14ac:dyDescent="0.25">
      <c r="G33" s="20"/>
      <c r="H33" s="20"/>
      <c r="I33" s="20"/>
      <c r="J33" s="20"/>
      <c r="K33" s="20"/>
      <c r="L33" s="20"/>
    </row>
    <row r="34" spans="7:12" ht="22.5" customHeight="1" x14ac:dyDescent="0.25">
      <c r="G34" s="20"/>
      <c r="H34" s="20"/>
      <c r="I34" s="20"/>
      <c r="J34" s="20"/>
      <c r="K34" s="20"/>
      <c r="L34" s="20"/>
    </row>
  </sheetData>
  <mergeCells count="9">
    <mergeCell ref="A17:B17"/>
    <mergeCell ref="A18:B18"/>
    <mergeCell ref="A2:N2"/>
    <mergeCell ref="A4:A10"/>
    <mergeCell ref="B4:N4"/>
    <mergeCell ref="B9:N9"/>
    <mergeCell ref="A11:B11"/>
    <mergeCell ref="B15:N15"/>
    <mergeCell ref="A12:A1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4"/>
  <sheetViews>
    <sheetView zoomScale="60" zoomScaleNormal="60" workbookViewId="0">
      <selection activeCell="A4" sqref="A4:A10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4" width="24.28515625" style="1" customWidth="1"/>
    <col min="15" max="15" width="9.140625" style="27"/>
    <col min="16" max="16" width="10.7109375" style="1" bestFit="1" customWidth="1"/>
    <col min="17" max="17" width="11.5703125" style="26" bestFit="1" customWidth="1"/>
    <col min="18" max="16384" width="9.140625" style="1"/>
  </cols>
  <sheetData>
    <row r="2" spans="1:18" ht="42.75" customHeight="1" x14ac:dyDescent="0.25">
      <c r="A2" s="54" t="s">
        <v>31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Q2" s="27"/>
      <c r="R2" s="27"/>
    </row>
    <row r="3" spans="1:18" s="5" customFormat="1" ht="33" customHeight="1" x14ac:dyDescent="0.25">
      <c r="A3" s="2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  <c r="O3" s="28"/>
      <c r="Q3" s="28"/>
      <c r="R3" s="28"/>
    </row>
    <row r="4" spans="1:18" ht="22.5" customHeight="1" x14ac:dyDescent="0.25">
      <c r="A4" s="55" t="s">
        <v>33</v>
      </c>
      <c r="B4" s="57" t="s">
        <v>20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9"/>
      <c r="Q4" s="27"/>
      <c r="R4" s="27"/>
    </row>
    <row r="5" spans="1:18" ht="22.5" customHeight="1" x14ac:dyDescent="0.25">
      <c r="A5" s="56"/>
      <c r="B5" s="6" t="s">
        <v>14</v>
      </c>
      <c r="C5" s="7">
        <f>49015402+3248281</f>
        <v>52263683</v>
      </c>
      <c r="D5" s="7">
        <f>43362807+4756855</f>
        <v>48119662</v>
      </c>
      <c r="E5" s="7">
        <f>46820059+4790938</f>
        <v>51610997</v>
      </c>
      <c r="F5" s="7">
        <f>41539705+4850850</f>
        <v>46390555</v>
      </c>
      <c r="G5" s="7">
        <f>38475176+3417101</f>
        <v>41892277</v>
      </c>
      <c r="H5" s="7">
        <f>35934753+4160757</f>
        <v>40095510</v>
      </c>
      <c r="I5" s="7">
        <f>37864365+3975778</f>
        <v>41840143</v>
      </c>
      <c r="J5" s="7">
        <f>38937275+3493276</f>
        <v>42430551</v>
      </c>
      <c r="K5" s="7">
        <f>37870992+4257628</f>
        <v>42128620</v>
      </c>
      <c r="L5" s="7">
        <f>42395064+5047946</f>
        <v>47443010</v>
      </c>
      <c r="M5" s="7">
        <f>44199053+4697135</f>
        <v>48896188</v>
      </c>
      <c r="N5" s="7">
        <f>47281707+4658875</f>
        <v>51940582</v>
      </c>
      <c r="O5" s="27">
        <f>N5/M5</f>
        <v>1.0622623996782734</v>
      </c>
      <c r="P5" s="19"/>
      <c r="Q5" s="25">
        <f>AVERAGE(C5:N5)</f>
        <v>46254314.833333336</v>
      </c>
      <c r="R5" s="27"/>
    </row>
    <row r="6" spans="1:18" ht="22.5" customHeight="1" x14ac:dyDescent="0.25">
      <c r="A6" s="56"/>
      <c r="B6" s="6" t="s">
        <v>15</v>
      </c>
      <c r="C6" s="7">
        <v>765402</v>
      </c>
      <c r="D6" s="7">
        <v>739055</v>
      </c>
      <c r="E6" s="7">
        <v>570425</v>
      </c>
      <c r="F6" s="7">
        <v>458277</v>
      </c>
      <c r="G6" s="7">
        <f>344043+145476</f>
        <v>489519</v>
      </c>
      <c r="H6" s="7">
        <f>414217+49250</f>
        <v>463467</v>
      </c>
      <c r="I6" s="7">
        <v>263021</v>
      </c>
      <c r="J6" s="7">
        <v>344257</v>
      </c>
      <c r="K6" s="7">
        <v>356698</v>
      </c>
      <c r="L6" s="7">
        <v>442611</v>
      </c>
      <c r="M6" s="7">
        <f>604950</f>
        <v>604950</v>
      </c>
      <c r="N6" s="7">
        <v>651168</v>
      </c>
      <c r="O6" s="27">
        <f t="shared" ref="O6:O8" si="0">N6/M6</f>
        <v>1.0763997024547483</v>
      </c>
      <c r="P6" s="19"/>
      <c r="Q6" s="25">
        <f t="shared" ref="Q6:Q16" si="1">AVERAGE(C6:N6)</f>
        <v>512404.16666666669</v>
      </c>
      <c r="R6" s="27"/>
    </row>
    <row r="7" spans="1:18" ht="22.5" customHeight="1" x14ac:dyDescent="0.25">
      <c r="A7" s="56"/>
      <c r="B7" s="6" t="s">
        <v>16</v>
      </c>
      <c r="C7" s="7">
        <f>4178647+390256</f>
        <v>4568903</v>
      </c>
      <c r="D7" s="7">
        <f>3907017+287868</f>
        <v>4194885</v>
      </c>
      <c r="E7" s="7">
        <f>3337737+249228</f>
        <v>3586965</v>
      </c>
      <c r="F7" s="7">
        <f>2649671+217413.35</f>
        <v>2867084.35</v>
      </c>
      <c r="G7" s="7">
        <f>2175418+6474</f>
        <v>2181892</v>
      </c>
      <c r="H7" s="7">
        <f>1712654+184185</f>
        <v>1896839</v>
      </c>
      <c r="I7" s="7">
        <f>1703753+143077</f>
        <v>1846830</v>
      </c>
      <c r="J7" s="7">
        <f>1929731+142973</f>
        <v>2072704</v>
      </c>
      <c r="K7" s="7">
        <f>1952265+155731</f>
        <v>2107996</v>
      </c>
      <c r="L7" s="7">
        <f>2460952+143964</f>
        <v>2604916</v>
      </c>
      <c r="M7" s="7">
        <f>2996323+285770</f>
        <v>3282093</v>
      </c>
      <c r="N7" s="7">
        <f>3155261+264000</f>
        <v>3419261</v>
      </c>
      <c r="O7" s="27">
        <f t="shared" si="0"/>
        <v>1.0417928437737749</v>
      </c>
      <c r="P7" s="19"/>
      <c r="Q7" s="25">
        <f t="shared" si="1"/>
        <v>2885864.0291666668</v>
      </c>
      <c r="R7" s="27"/>
    </row>
    <row r="8" spans="1:18" ht="22.5" customHeight="1" x14ac:dyDescent="0.25">
      <c r="A8" s="56"/>
      <c r="B8" s="6" t="s">
        <v>17</v>
      </c>
      <c r="C8" s="7">
        <f>693560+4825</f>
        <v>698385</v>
      </c>
      <c r="D8" s="7">
        <f>619161+4405</f>
        <v>623566</v>
      </c>
      <c r="E8" s="7">
        <f>504086+4902</f>
        <v>508988</v>
      </c>
      <c r="F8" s="7">
        <f>526556+4924</f>
        <v>531480</v>
      </c>
      <c r="G8" s="7">
        <v>417634</v>
      </c>
      <c r="H8" s="7">
        <f>425653+4893</f>
        <v>430546</v>
      </c>
      <c r="I8" s="7">
        <f>430783+4863</f>
        <v>435646</v>
      </c>
      <c r="J8" s="7">
        <f>430372+4852</f>
        <v>435224</v>
      </c>
      <c r="K8" s="7">
        <f>436273+5039</f>
        <v>441312</v>
      </c>
      <c r="L8" s="7">
        <f>476833+4980</f>
        <v>481813</v>
      </c>
      <c r="M8" s="7">
        <f>638666+4748</f>
        <v>643414</v>
      </c>
      <c r="N8" s="7">
        <f>539209+5169</f>
        <v>544378</v>
      </c>
      <c r="O8" s="27">
        <f t="shared" si="0"/>
        <v>0.846077331236187</v>
      </c>
      <c r="P8" s="19"/>
      <c r="Q8" s="25">
        <f t="shared" si="1"/>
        <v>516032.16666666669</v>
      </c>
      <c r="R8" s="27"/>
    </row>
    <row r="9" spans="1:18" ht="22.5" customHeight="1" x14ac:dyDescent="0.25">
      <c r="A9" s="56"/>
      <c r="B9" s="57" t="s">
        <v>21</v>
      </c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9"/>
      <c r="P9" s="19"/>
      <c r="Q9" s="25"/>
      <c r="R9" s="27"/>
    </row>
    <row r="10" spans="1:18" ht="22.5" customHeight="1" x14ac:dyDescent="0.25">
      <c r="A10" s="56"/>
      <c r="B10" s="8"/>
      <c r="C10" s="7">
        <f>625790+19518</f>
        <v>645308</v>
      </c>
      <c r="D10" s="7">
        <f>585775+19437</f>
        <v>605212</v>
      </c>
      <c r="E10" s="7">
        <f>534147+16503</f>
        <v>550650</v>
      </c>
      <c r="F10" s="7">
        <f>588042+17138</f>
        <v>605180</v>
      </c>
      <c r="G10" s="7">
        <f>792249+14954</f>
        <v>807203</v>
      </c>
      <c r="H10" s="7">
        <f>796929+16630</f>
        <v>813559</v>
      </c>
      <c r="I10" s="7">
        <f>836409+12712</f>
        <v>849121</v>
      </c>
      <c r="J10" s="7">
        <f>873453+13712</f>
        <v>887165</v>
      </c>
      <c r="K10" s="7">
        <f>808545+15041</f>
        <v>823586</v>
      </c>
      <c r="L10" s="7">
        <f>732263+15689</f>
        <v>747952</v>
      </c>
      <c r="M10" s="7">
        <f>617452+17376</f>
        <v>634828</v>
      </c>
      <c r="N10" s="7">
        <f>576516+21548</f>
        <v>598064</v>
      </c>
      <c r="O10" s="27">
        <f>N10/M10</f>
        <v>0.94208825067577362</v>
      </c>
      <c r="P10" s="19"/>
      <c r="Q10" s="25">
        <f t="shared" si="1"/>
        <v>713985.66666666663</v>
      </c>
      <c r="R10" s="27"/>
    </row>
    <row r="11" spans="1:18" ht="22.5" customHeight="1" x14ac:dyDescent="0.25">
      <c r="A11" s="52" t="s">
        <v>18</v>
      </c>
      <c r="B11" s="53"/>
      <c r="C11" s="9">
        <f t="shared" ref="C11:N11" si="2">SUM(C5:C8,C10)</f>
        <v>58941681</v>
      </c>
      <c r="D11" s="9">
        <f t="shared" si="2"/>
        <v>54282380</v>
      </c>
      <c r="E11" s="9">
        <f t="shared" si="2"/>
        <v>56828025</v>
      </c>
      <c r="F11" s="9">
        <f t="shared" si="2"/>
        <v>50852576.350000001</v>
      </c>
      <c r="G11" s="9">
        <f t="shared" si="2"/>
        <v>45788525</v>
      </c>
      <c r="H11" s="9">
        <f t="shared" si="2"/>
        <v>43699921</v>
      </c>
      <c r="I11" s="9">
        <f t="shared" si="2"/>
        <v>45234761</v>
      </c>
      <c r="J11" s="9">
        <f t="shared" si="2"/>
        <v>46169901</v>
      </c>
      <c r="K11" s="9">
        <f t="shared" si="2"/>
        <v>45858212</v>
      </c>
      <c r="L11" s="9">
        <f t="shared" si="2"/>
        <v>51720302</v>
      </c>
      <c r="M11" s="9">
        <f t="shared" si="2"/>
        <v>54061473</v>
      </c>
      <c r="N11" s="9">
        <f t="shared" si="2"/>
        <v>57153453</v>
      </c>
      <c r="P11" s="19"/>
      <c r="Q11" s="25"/>
      <c r="R11" s="27"/>
    </row>
    <row r="12" spans="1:18" ht="22.5" customHeight="1" x14ac:dyDescent="0.25">
      <c r="A12" s="63" t="s">
        <v>29</v>
      </c>
      <c r="B12" s="6" t="s">
        <v>15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431</v>
      </c>
      <c r="K12" s="7">
        <v>0</v>
      </c>
      <c r="L12" s="7">
        <v>0</v>
      </c>
      <c r="M12" s="7">
        <v>0</v>
      </c>
      <c r="N12" s="7">
        <v>0</v>
      </c>
      <c r="P12" s="19"/>
      <c r="Q12" s="25">
        <f t="shared" si="1"/>
        <v>35.916666666666664</v>
      </c>
      <c r="R12" s="27"/>
    </row>
    <row r="13" spans="1:18" ht="33.75" customHeight="1" x14ac:dyDescent="0.25">
      <c r="A13" s="64"/>
      <c r="B13" s="6" t="s">
        <v>16</v>
      </c>
      <c r="C13" s="7">
        <v>126003</v>
      </c>
      <c r="D13" s="7">
        <v>101230</v>
      </c>
      <c r="E13" s="7">
        <v>99002</v>
      </c>
      <c r="F13" s="7">
        <v>91571</v>
      </c>
      <c r="G13" s="7">
        <v>69303</v>
      </c>
      <c r="H13" s="7">
        <v>67737</v>
      </c>
      <c r="I13" s="7">
        <v>59847</v>
      </c>
      <c r="J13" s="7">
        <v>66852</v>
      </c>
      <c r="K13" s="7">
        <v>67614</v>
      </c>
      <c r="L13" s="7">
        <v>84403</v>
      </c>
      <c r="M13" s="7">
        <v>102493</v>
      </c>
      <c r="N13" s="7">
        <v>101106</v>
      </c>
      <c r="O13" s="27">
        <f t="shared" ref="O13:O14" si="3">N13/M13</f>
        <v>0.98646736850321481</v>
      </c>
      <c r="P13" s="19"/>
      <c r="Q13" s="25">
        <f t="shared" si="1"/>
        <v>86430.083333333328</v>
      </c>
      <c r="R13" s="27"/>
    </row>
    <row r="14" spans="1:18" ht="33.75" customHeight="1" x14ac:dyDescent="0.25">
      <c r="A14" s="64"/>
      <c r="B14" s="6" t="s">
        <v>17</v>
      </c>
      <c r="C14" s="7">
        <v>67089</v>
      </c>
      <c r="D14" s="7">
        <v>57653</v>
      </c>
      <c r="E14" s="7">
        <v>53929</v>
      </c>
      <c r="F14" s="7">
        <v>42232</v>
      </c>
      <c r="G14" s="7">
        <v>34061</v>
      </c>
      <c r="H14" s="7">
        <v>34164</v>
      </c>
      <c r="I14" s="7">
        <v>32987</v>
      </c>
      <c r="J14" s="7">
        <v>32794</v>
      </c>
      <c r="K14" s="7">
        <v>35078</v>
      </c>
      <c r="L14" s="7">
        <v>41143</v>
      </c>
      <c r="M14" s="7">
        <v>48510</v>
      </c>
      <c r="N14" s="7">
        <v>51434</v>
      </c>
      <c r="O14" s="27">
        <f t="shared" si="3"/>
        <v>1.0602762317048031</v>
      </c>
      <c r="P14" s="19"/>
      <c r="Q14" s="25">
        <f t="shared" si="1"/>
        <v>44256.166666666664</v>
      </c>
      <c r="R14" s="27"/>
    </row>
    <row r="15" spans="1:18" ht="33.75" customHeight="1" x14ac:dyDescent="0.25">
      <c r="A15" s="65"/>
      <c r="B15" s="57" t="s">
        <v>21</v>
      </c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9"/>
      <c r="P15" s="19"/>
      <c r="Q15" s="25"/>
      <c r="R15" s="27"/>
    </row>
    <row r="16" spans="1:18" ht="22.5" customHeight="1" x14ac:dyDescent="0.25">
      <c r="A16" s="23"/>
      <c r="B16" s="24"/>
      <c r="C16" s="7">
        <v>90542</v>
      </c>
      <c r="D16" s="7">
        <v>97462</v>
      </c>
      <c r="E16" s="7">
        <v>82065</v>
      </c>
      <c r="F16" s="7">
        <v>86959</v>
      </c>
      <c r="G16" s="7">
        <v>84818</v>
      </c>
      <c r="H16" s="7">
        <v>78878</v>
      </c>
      <c r="I16" s="7">
        <v>71974</v>
      </c>
      <c r="J16" s="7">
        <v>81842</v>
      </c>
      <c r="K16" s="7">
        <v>83083</v>
      </c>
      <c r="L16" s="7">
        <v>81590</v>
      </c>
      <c r="M16" s="7">
        <v>89271</v>
      </c>
      <c r="N16" s="7">
        <v>88436</v>
      </c>
      <c r="O16" s="27">
        <f>N16/M16</f>
        <v>0.99064645853636679</v>
      </c>
      <c r="P16" s="19"/>
      <c r="Q16" s="25">
        <f t="shared" si="1"/>
        <v>84743.333333333328</v>
      </c>
      <c r="R16" s="27"/>
    </row>
    <row r="17" spans="1:18" ht="22.5" customHeight="1" x14ac:dyDescent="0.25">
      <c r="A17" s="52" t="s">
        <v>18</v>
      </c>
      <c r="B17" s="53"/>
      <c r="C17" s="9">
        <f>SUM(C12:C14,C16)</f>
        <v>283634</v>
      </c>
      <c r="D17" s="9">
        <f t="shared" ref="D17:N17" si="4">SUM(D12:D14,D16)</f>
        <v>256345</v>
      </c>
      <c r="E17" s="9">
        <f t="shared" si="4"/>
        <v>234996</v>
      </c>
      <c r="F17" s="9">
        <f t="shared" si="4"/>
        <v>220762</v>
      </c>
      <c r="G17" s="9">
        <f t="shared" si="4"/>
        <v>188182</v>
      </c>
      <c r="H17" s="9">
        <f t="shared" si="4"/>
        <v>180779</v>
      </c>
      <c r="I17" s="9">
        <f t="shared" si="4"/>
        <v>164808</v>
      </c>
      <c r="J17" s="9">
        <f t="shared" si="4"/>
        <v>181919</v>
      </c>
      <c r="K17" s="9">
        <f t="shared" si="4"/>
        <v>185775</v>
      </c>
      <c r="L17" s="9">
        <f t="shared" si="4"/>
        <v>207136</v>
      </c>
      <c r="M17" s="9">
        <f t="shared" si="4"/>
        <v>240274</v>
      </c>
      <c r="N17" s="9">
        <f t="shared" si="4"/>
        <v>240976</v>
      </c>
      <c r="P17" s="19"/>
      <c r="Q17" s="27"/>
      <c r="R17" s="27"/>
    </row>
    <row r="18" spans="1:18" s="10" customFormat="1" ht="22.5" customHeight="1" x14ac:dyDescent="0.25">
      <c r="A18" s="52" t="s">
        <v>19</v>
      </c>
      <c r="B18" s="53"/>
      <c r="C18" s="9">
        <f>C11+C17</f>
        <v>59225315</v>
      </c>
      <c r="D18" s="9">
        <f t="shared" ref="D18:N18" si="5">D11+D17</f>
        <v>54538725</v>
      </c>
      <c r="E18" s="9">
        <f t="shared" si="5"/>
        <v>57063021</v>
      </c>
      <c r="F18" s="9">
        <f t="shared" si="5"/>
        <v>51073338.350000001</v>
      </c>
      <c r="G18" s="9">
        <f t="shared" si="5"/>
        <v>45976707</v>
      </c>
      <c r="H18" s="9">
        <f t="shared" si="5"/>
        <v>43880700</v>
      </c>
      <c r="I18" s="9">
        <f t="shared" si="5"/>
        <v>45399569</v>
      </c>
      <c r="J18" s="9">
        <f t="shared" si="5"/>
        <v>46351820</v>
      </c>
      <c r="K18" s="9">
        <f t="shared" si="5"/>
        <v>46043987</v>
      </c>
      <c r="L18" s="9">
        <f t="shared" si="5"/>
        <v>51927438</v>
      </c>
      <c r="M18" s="9">
        <f t="shared" si="5"/>
        <v>54301747</v>
      </c>
      <c r="N18" s="9">
        <f t="shared" si="5"/>
        <v>57394429</v>
      </c>
      <c r="O18" s="27"/>
      <c r="P18" s="19"/>
      <c r="Q18" s="29"/>
      <c r="R18" s="29"/>
    </row>
    <row r="20" spans="1:18" ht="22.5" customHeight="1" x14ac:dyDescent="0.25">
      <c r="G20" s="20"/>
      <c r="H20" s="20"/>
      <c r="I20" s="21"/>
      <c r="J20" s="22"/>
      <c r="K20" s="20"/>
      <c r="L20" s="20"/>
    </row>
    <row r="21" spans="1:18" ht="22.5" customHeight="1" x14ac:dyDescent="0.25">
      <c r="E21" s="19"/>
      <c r="G21" s="20"/>
      <c r="H21" s="20"/>
      <c r="I21" s="21"/>
      <c r="J21" s="22"/>
      <c r="K21" s="20"/>
      <c r="L21" s="20"/>
    </row>
    <row r="22" spans="1:18" ht="22.5" customHeight="1" x14ac:dyDescent="0.25">
      <c r="G22" s="20"/>
      <c r="H22" s="20"/>
      <c r="I22" s="21"/>
      <c r="J22" s="22"/>
      <c r="K22" s="20"/>
      <c r="L22" s="20"/>
    </row>
    <row r="23" spans="1:18" ht="22.5" customHeight="1" x14ac:dyDescent="0.25">
      <c r="G23" s="20"/>
      <c r="H23" s="20"/>
      <c r="I23" s="21"/>
      <c r="J23" s="22"/>
      <c r="K23" s="20"/>
      <c r="L23" s="20"/>
    </row>
    <row r="24" spans="1:18" ht="22.5" customHeight="1" x14ac:dyDescent="0.25">
      <c r="G24" s="20"/>
      <c r="H24" s="20"/>
      <c r="I24" s="21"/>
      <c r="J24" s="22"/>
      <c r="K24" s="20"/>
      <c r="L24" s="20"/>
    </row>
    <row r="25" spans="1:18" ht="22.5" customHeight="1" x14ac:dyDescent="0.25">
      <c r="G25" s="20"/>
      <c r="H25" s="20"/>
      <c r="I25" s="20"/>
      <c r="J25" s="20"/>
      <c r="K25" s="20"/>
      <c r="L25" s="20"/>
    </row>
    <row r="26" spans="1:18" ht="22.5" customHeight="1" x14ac:dyDescent="0.25">
      <c r="G26" s="20"/>
      <c r="H26" s="20"/>
      <c r="I26" s="20"/>
      <c r="J26" s="20"/>
      <c r="K26" s="20"/>
      <c r="L26" s="20"/>
    </row>
    <row r="27" spans="1:18" ht="22.5" customHeight="1" x14ac:dyDescent="0.25">
      <c r="G27" s="20"/>
      <c r="H27" s="20"/>
      <c r="I27" s="20"/>
      <c r="J27" s="20"/>
      <c r="K27" s="20"/>
      <c r="L27" s="20"/>
    </row>
    <row r="28" spans="1:18" ht="22.5" customHeight="1" x14ac:dyDescent="0.25">
      <c r="G28" s="20"/>
      <c r="H28" s="20"/>
      <c r="I28" s="20"/>
      <c r="J28" s="20"/>
      <c r="K28" s="20"/>
      <c r="L28" s="20"/>
    </row>
    <row r="29" spans="1:18" ht="22.5" customHeight="1" x14ac:dyDescent="0.25">
      <c r="G29" s="20"/>
      <c r="H29" s="20"/>
      <c r="I29" s="20"/>
      <c r="J29" s="20"/>
      <c r="K29" s="20"/>
      <c r="L29" s="20"/>
    </row>
    <row r="30" spans="1:18" ht="22.5" customHeight="1" x14ac:dyDescent="0.25">
      <c r="G30" s="20"/>
      <c r="H30" s="20"/>
      <c r="I30" s="20"/>
      <c r="J30" s="20"/>
      <c r="K30" s="20"/>
      <c r="L30" s="20"/>
    </row>
    <row r="31" spans="1:18" ht="22.5" customHeight="1" x14ac:dyDescent="0.25">
      <c r="G31" s="20"/>
      <c r="H31" s="20"/>
      <c r="I31" s="20"/>
      <c r="J31" s="20"/>
      <c r="K31" s="20"/>
      <c r="L31" s="20"/>
    </row>
    <row r="32" spans="1:18" ht="22.5" customHeight="1" x14ac:dyDescent="0.25">
      <c r="G32" s="20"/>
      <c r="H32" s="20"/>
      <c r="I32" s="20"/>
      <c r="J32" s="20"/>
      <c r="K32" s="20"/>
      <c r="L32" s="20"/>
    </row>
    <row r="33" spans="7:12" ht="22.5" customHeight="1" x14ac:dyDescent="0.25">
      <c r="G33" s="20"/>
      <c r="H33" s="20"/>
      <c r="I33" s="20"/>
      <c r="J33" s="20"/>
      <c r="K33" s="20"/>
      <c r="L33" s="20"/>
    </row>
    <row r="34" spans="7:12" ht="22.5" customHeight="1" x14ac:dyDescent="0.25">
      <c r="G34" s="20"/>
      <c r="H34" s="20"/>
      <c r="I34" s="20"/>
      <c r="J34" s="20"/>
      <c r="K34" s="20"/>
      <c r="L34" s="20"/>
    </row>
  </sheetData>
  <mergeCells count="9">
    <mergeCell ref="A17:B17"/>
    <mergeCell ref="A18:B18"/>
    <mergeCell ref="A2:N2"/>
    <mergeCell ref="A4:A10"/>
    <mergeCell ref="B4:N4"/>
    <mergeCell ref="B9:N9"/>
    <mergeCell ref="A11:B11"/>
    <mergeCell ref="A12:A15"/>
    <mergeCell ref="B15:N1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4"/>
  <sheetViews>
    <sheetView zoomScale="70" zoomScaleNormal="70" workbookViewId="0">
      <selection activeCell="W16" sqref="W16"/>
    </sheetView>
  </sheetViews>
  <sheetFormatPr defaultColWidth="9.140625" defaultRowHeight="22.5" customHeight="1" x14ac:dyDescent="0.25"/>
  <cols>
    <col min="1" max="1" width="30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5.85546875" style="1" hidden="1" customWidth="1"/>
    <col min="8" max="8" width="17.85546875" style="1" customWidth="1"/>
    <col min="9" max="9" width="17.85546875" style="1" hidden="1" customWidth="1"/>
    <col min="10" max="10" width="18.42578125" style="1" customWidth="1"/>
    <col min="11" max="11" width="18.42578125" style="1" hidden="1" customWidth="1"/>
    <col min="12" max="12" width="19.85546875" style="1" customWidth="1"/>
    <col min="13" max="13" width="19.85546875" style="1" hidden="1" customWidth="1"/>
    <col min="14" max="14" width="21" style="1" customWidth="1"/>
    <col min="15" max="15" width="21" style="1" hidden="1" customWidth="1"/>
    <col min="16" max="16" width="22.140625" style="1" customWidth="1"/>
    <col min="17" max="17" width="22.140625" style="1" hidden="1" customWidth="1"/>
    <col min="18" max="18" width="22.42578125" style="1" customWidth="1"/>
    <col min="19" max="19" width="22.42578125" style="1" hidden="1" customWidth="1"/>
    <col min="20" max="20" width="24.28515625" style="1" customWidth="1"/>
    <col min="21" max="21" width="24.28515625" style="1" hidden="1" customWidth="1"/>
    <col min="22" max="22" width="24.28515625" style="1" customWidth="1"/>
    <col min="23" max="23" width="12.7109375" style="27" bestFit="1" customWidth="1"/>
    <col min="24" max="24" width="10.7109375" style="1" bestFit="1" customWidth="1"/>
    <col min="25" max="16384" width="9.140625" style="1"/>
  </cols>
  <sheetData>
    <row r="2" spans="1:24" ht="42.75" customHeight="1" x14ac:dyDescent="0.25">
      <c r="A2" s="54" t="s">
        <v>32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</row>
    <row r="3" spans="1:24" s="5" customFormat="1" ht="33" customHeight="1" x14ac:dyDescent="0.25">
      <c r="A3" s="2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/>
      <c r="H3" s="4" t="s">
        <v>6</v>
      </c>
      <c r="I3" s="4"/>
      <c r="J3" s="4" t="s">
        <v>7</v>
      </c>
      <c r="K3" s="4"/>
      <c r="L3" s="4" t="s">
        <v>8</v>
      </c>
      <c r="M3" s="4"/>
      <c r="N3" s="4" t="s">
        <v>9</v>
      </c>
      <c r="O3" s="4"/>
      <c r="P3" s="4" t="s">
        <v>10</v>
      </c>
      <c r="Q3" s="4"/>
      <c r="R3" s="4" t="s">
        <v>11</v>
      </c>
      <c r="S3" s="4"/>
      <c r="T3" s="4" t="s">
        <v>12</v>
      </c>
      <c r="U3" s="4"/>
      <c r="V3" s="4" t="s">
        <v>13</v>
      </c>
      <c r="W3" s="28"/>
    </row>
    <row r="4" spans="1:24" ht="22.5" customHeight="1" x14ac:dyDescent="0.25">
      <c r="A4" s="68" t="s">
        <v>33</v>
      </c>
      <c r="B4" s="70" t="s">
        <v>20</v>
      </c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2"/>
    </row>
    <row r="5" spans="1:24" ht="22.5" customHeight="1" x14ac:dyDescent="0.25">
      <c r="A5" s="69"/>
      <c r="B5" s="32" t="s">
        <v>14</v>
      </c>
      <c r="C5" s="30">
        <f>42422430+2302948</f>
        <v>44725378</v>
      </c>
      <c r="D5" s="30">
        <f>39109876+4381109</f>
        <v>43490985</v>
      </c>
      <c r="E5" s="30">
        <f>41271191+4495975</f>
        <v>45767166</v>
      </c>
      <c r="F5" s="30">
        <f>35999738+2647559</f>
        <v>38647297</v>
      </c>
      <c r="G5" s="30">
        <v>0.903034615559137</v>
      </c>
      <c r="H5" s="30">
        <f>30552667+2290602</f>
        <v>32843269</v>
      </c>
      <c r="I5" s="30">
        <v>0.95710982718843385</v>
      </c>
      <c r="J5" s="30">
        <f>28947495+2022268</f>
        <v>30969763</v>
      </c>
      <c r="K5" s="30">
        <v>1.0435119293905977</v>
      </c>
      <c r="L5" s="30">
        <f>29802933+2501901</f>
        <v>32304834</v>
      </c>
      <c r="M5" s="30">
        <v>1.0141110416376924</v>
      </c>
      <c r="N5" s="30">
        <f>33819225+2650188</f>
        <v>36469413</v>
      </c>
      <c r="O5" s="30">
        <v>0.99288411314762326</v>
      </c>
      <c r="P5" s="30">
        <f>34163036+3579466</f>
        <v>37742502</v>
      </c>
      <c r="Q5" s="30">
        <v>1.1261467857242891</v>
      </c>
      <c r="R5" s="30">
        <f>37103273+3868606</f>
        <v>40971879</v>
      </c>
      <c r="S5" s="30">
        <v>1.0306299705688995</v>
      </c>
      <c r="T5" s="30">
        <f>36097593+3820575+3732273</f>
        <v>43650441</v>
      </c>
      <c r="U5" s="30">
        <v>1.0622623996782734</v>
      </c>
      <c r="V5" s="30">
        <f>45593281+4189150</f>
        <v>49782431</v>
      </c>
      <c r="W5" s="27">
        <f>'2021'!C5/'2020'!V5</f>
        <v>0.95044802050747579</v>
      </c>
      <c r="X5" s="19"/>
    </row>
    <row r="6" spans="1:24" ht="22.5" customHeight="1" x14ac:dyDescent="0.25">
      <c r="A6" s="69"/>
      <c r="B6" s="32" t="s">
        <v>15</v>
      </c>
      <c r="C6" s="30">
        <v>674090</v>
      </c>
      <c r="D6" s="30">
        <v>653446</v>
      </c>
      <c r="E6" s="30">
        <v>455181</v>
      </c>
      <c r="F6" s="30">
        <v>354086</v>
      </c>
      <c r="G6" s="30">
        <v>1.068172742686192</v>
      </c>
      <c r="H6" s="30">
        <v>267231</v>
      </c>
      <c r="I6" s="30">
        <v>0.94678041097485488</v>
      </c>
      <c r="J6" s="30">
        <v>185427</v>
      </c>
      <c r="K6" s="30">
        <v>0.56750750323108223</v>
      </c>
      <c r="L6" s="30">
        <v>196241</v>
      </c>
      <c r="M6" s="30">
        <v>1.308857467654674</v>
      </c>
      <c r="N6" s="30">
        <v>201076</v>
      </c>
      <c r="O6" s="30">
        <v>1.0361386987047467</v>
      </c>
      <c r="P6" s="30">
        <v>314532</v>
      </c>
      <c r="Q6" s="30">
        <v>1.2408564107452242</v>
      </c>
      <c r="R6" s="30">
        <v>468852</v>
      </c>
      <c r="S6" s="30">
        <v>1.3667757918352685</v>
      </c>
      <c r="T6" s="30">
        <f>426669+75516</f>
        <v>502185</v>
      </c>
      <c r="U6" s="30">
        <v>1.0763997024547483</v>
      </c>
      <c r="V6" s="30">
        <v>623625</v>
      </c>
      <c r="W6" s="27">
        <f>'2021'!C6/'2020'!V6</f>
        <v>1.051729805572259</v>
      </c>
      <c r="X6" s="19"/>
    </row>
    <row r="7" spans="1:24" ht="22.5" customHeight="1" x14ac:dyDescent="0.25">
      <c r="A7" s="69"/>
      <c r="B7" s="32" t="s">
        <v>16</v>
      </c>
      <c r="C7" s="30">
        <f>3191951+283421</f>
        <v>3475372</v>
      </c>
      <c r="D7" s="30">
        <f>3446132+220893</f>
        <v>3667025</v>
      </c>
      <c r="E7" s="30">
        <f>3084834+96504</f>
        <v>3181338</v>
      </c>
      <c r="F7" s="30">
        <f>2515712+67446</f>
        <v>2583158</v>
      </c>
      <c r="G7" s="30">
        <v>0.76101423385049694</v>
      </c>
      <c r="H7" s="30">
        <f>1348199+83851</f>
        <v>1432050</v>
      </c>
      <c r="I7" s="30">
        <v>0.86935512848481955</v>
      </c>
      <c r="J7" s="30">
        <f>1359941+38429</f>
        <v>1398370</v>
      </c>
      <c r="K7" s="30">
        <v>0.9736356116676218</v>
      </c>
      <c r="L7" s="30">
        <f>1103681+29569</f>
        <v>1133250</v>
      </c>
      <c r="M7" s="30">
        <v>1.1223036229647558</v>
      </c>
      <c r="N7" s="30">
        <f>1414785+45036</f>
        <v>1459821</v>
      </c>
      <c r="O7" s="30">
        <v>1.0170270332859879</v>
      </c>
      <c r="P7" s="30">
        <f>1660197+249859</f>
        <v>1910056</v>
      </c>
      <c r="Q7" s="30">
        <v>1.2357309975920259</v>
      </c>
      <c r="R7" s="30">
        <f>1741492+65636</f>
        <v>1807128</v>
      </c>
      <c r="S7" s="30">
        <v>1.259961165734327</v>
      </c>
      <c r="T7" s="30">
        <f>2427284+100084+87136</f>
        <v>2614504</v>
      </c>
      <c r="U7" s="30">
        <v>1.0417928437737749</v>
      </c>
      <c r="V7" s="30">
        <f>2726943+126249</f>
        <v>2853192</v>
      </c>
      <c r="W7" s="27">
        <f>'2021'!C7/'2020'!V7</f>
        <v>0.9918337076509397</v>
      </c>
      <c r="X7" s="19"/>
    </row>
    <row r="8" spans="1:24" ht="22.5" customHeight="1" x14ac:dyDescent="0.25">
      <c r="A8" s="69"/>
      <c r="B8" s="32" t="s">
        <v>17</v>
      </c>
      <c r="C8" s="30">
        <v>550165</v>
      </c>
      <c r="D8" s="30">
        <f>575186+4880</f>
        <v>580066</v>
      </c>
      <c r="E8" s="30">
        <f>485879+5291</f>
        <v>491170</v>
      </c>
      <c r="F8" s="30">
        <f>458515+5010</f>
        <v>463525</v>
      </c>
      <c r="G8" s="30">
        <v>0.78579438548957625</v>
      </c>
      <c r="H8" s="30">
        <f>251637+5426</f>
        <v>257063</v>
      </c>
      <c r="I8" s="30">
        <v>1.0309170230393119</v>
      </c>
      <c r="J8" s="30">
        <f>228724+5334</f>
        <v>234058</v>
      </c>
      <c r="K8" s="30">
        <v>1.0118454241823174</v>
      </c>
      <c r="L8" s="30">
        <f>228745+476</f>
        <v>229221</v>
      </c>
      <c r="M8" s="30">
        <v>0.99903132359759994</v>
      </c>
      <c r="N8" s="30">
        <f>239610+5892</f>
        <v>245502</v>
      </c>
      <c r="O8" s="30">
        <v>1.0139881991801922</v>
      </c>
      <c r="P8" s="30">
        <f>179054+249859+365</f>
        <v>429278</v>
      </c>
      <c r="Q8" s="30">
        <v>1.0917740736712349</v>
      </c>
      <c r="R8" s="30">
        <f>250773+6089</f>
        <v>256862</v>
      </c>
      <c r="S8" s="30">
        <v>1.3354019090393991</v>
      </c>
      <c r="T8" s="30">
        <f>346631+7235+4782</f>
        <v>358648</v>
      </c>
      <c r="U8" s="30">
        <v>0.846077331236187</v>
      </c>
      <c r="V8" s="30">
        <f>359098+5060</f>
        <v>364158</v>
      </c>
      <c r="W8" s="27">
        <f>'2021'!C8/'2020'!V8</f>
        <v>0.96409800141696733</v>
      </c>
      <c r="X8" s="19"/>
    </row>
    <row r="9" spans="1:24" ht="22.5" customHeight="1" x14ac:dyDescent="0.25">
      <c r="A9" s="69"/>
      <c r="B9" s="70" t="s">
        <v>21</v>
      </c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2"/>
      <c r="X9" s="19"/>
    </row>
    <row r="10" spans="1:24" ht="22.5" customHeight="1" x14ac:dyDescent="0.25">
      <c r="A10" s="69"/>
      <c r="B10" s="33"/>
      <c r="C10" s="30">
        <f>616297+4982</f>
        <v>621279</v>
      </c>
      <c r="D10" s="30">
        <v>582051</v>
      </c>
      <c r="E10" s="30">
        <v>542766</v>
      </c>
      <c r="F10" s="30">
        <v>661092</v>
      </c>
      <c r="G10" s="30">
        <v>1.333822994811461</v>
      </c>
      <c r="H10" s="30">
        <v>935111</v>
      </c>
      <c r="I10" s="30">
        <v>1.0078741035402494</v>
      </c>
      <c r="J10" s="30">
        <v>924872</v>
      </c>
      <c r="K10" s="30">
        <v>1.043711642302525</v>
      </c>
      <c r="L10" s="30">
        <v>900907</v>
      </c>
      <c r="M10" s="30">
        <v>1.0448039796448327</v>
      </c>
      <c r="N10" s="30">
        <f>947753+2389</f>
        <v>950142</v>
      </c>
      <c r="O10" s="30">
        <v>0.92833463899049218</v>
      </c>
      <c r="P10" s="30">
        <v>834363</v>
      </c>
      <c r="Q10" s="30">
        <v>0.90816502466044835</v>
      </c>
      <c r="R10" s="30">
        <f>753325+403</f>
        <v>753728</v>
      </c>
      <c r="S10" s="30">
        <v>0.84875500032087625</v>
      </c>
      <c r="T10" s="30">
        <f>694268+621</f>
        <v>694889</v>
      </c>
      <c r="U10" s="30">
        <v>0.94208825067577362</v>
      </c>
      <c r="V10" s="30">
        <f>599315+741</f>
        <v>600056</v>
      </c>
      <c r="W10" s="27">
        <f>'2021'!C10/'2020'!V10</f>
        <v>1.0849387390510219</v>
      </c>
      <c r="X10" s="19"/>
    </row>
    <row r="11" spans="1:24" ht="22.5" customHeight="1" x14ac:dyDescent="0.25">
      <c r="A11" s="66" t="s">
        <v>18</v>
      </c>
      <c r="B11" s="67"/>
      <c r="C11" s="31">
        <f t="shared" ref="C11:V11" si="0">SUM(C5:C8,C10)</f>
        <v>50046284</v>
      </c>
      <c r="D11" s="31">
        <f t="shared" si="0"/>
        <v>48973573</v>
      </c>
      <c r="E11" s="31">
        <f t="shared" si="0"/>
        <v>50437621</v>
      </c>
      <c r="F11" s="31">
        <f t="shared" si="0"/>
        <v>42709158</v>
      </c>
      <c r="G11" s="31"/>
      <c r="H11" s="31">
        <f t="shared" si="0"/>
        <v>35734724</v>
      </c>
      <c r="I11" s="31"/>
      <c r="J11" s="31">
        <f t="shared" si="0"/>
        <v>33712490</v>
      </c>
      <c r="K11" s="31"/>
      <c r="L11" s="31">
        <f t="shared" si="0"/>
        <v>34764453</v>
      </c>
      <c r="M11" s="31"/>
      <c r="N11" s="31">
        <f t="shared" si="0"/>
        <v>39325954</v>
      </c>
      <c r="O11" s="31"/>
      <c r="P11" s="31">
        <f t="shared" si="0"/>
        <v>41230731</v>
      </c>
      <c r="Q11" s="31"/>
      <c r="R11" s="31">
        <f t="shared" si="0"/>
        <v>44258449</v>
      </c>
      <c r="S11" s="31"/>
      <c r="T11" s="31">
        <f t="shared" si="0"/>
        <v>47820667</v>
      </c>
      <c r="U11" s="31"/>
      <c r="V11" s="31">
        <f t="shared" si="0"/>
        <v>54223462</v>
      </c>
      <c r="X11" s="19"/>
    </row>
    <row r="12" spans="1:24" ht="22.5" customHeight="1" x14ac:dyDescent="0.25">
      <c r="A12" s="73" t="s">
        <v>34</v>
      </c>
      <c r="B12" s="32" t="s">
        <v>15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  <c r="H12" s="30">
        <v>0</v>
      </c>
      <c r="I12" s="30"/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0"/>
      <c r="P12" s="30">
        <v>0</v>
      </c>
      <c r="Q12" s="30"/>
      <c r="R12" s="30">
        <v>0</v>
      </c>
      <c r="S12" s="30">
        <v>0</v>
      </c>
      <c r="T12" s="30">
        <v>0</v>
      </c>
      <c r="U12" s="30"/>
      <c r="V12" s="30">
        <v>0</v>
      </c>
      <c r="W12" s="27" t="e">
        <f>'2021'!C12/'2020'!V12</f>
        <v>#DIV/0!</v>
      </c>
      <c r="X12" s="19"/>
    </row>
    <row r="13" spans="1:24" ht="33.75" customHeight="1" x14ac:dyDescent="0.25">
      <c r="A13" s="74"/>
      <c r="B13" s="32" t="s">
        <v>16</v>
      </c>
      <c r="C13" s="30">
        <v>109304</v>
      </c>
      <c r="D13" s="30">
        <v>112319</v>
      </c>
      <c r="E13" s="30">
        <v>86062</v>
      </c>
      <c r="F13" s="30">
        <v>67213</v>
      </c>
      <c r="G13" s="30">
        <v>0.75682257483264348</v>
      </c>
      <c r="H13" s="30">
        <v>57881</v>
      </c>
      <c r="I13" s="30">
        <v>0.97740357560278779</v>
      </c>
      <c r="J13" s="30">
        <v>63061</v>
      </c>
      <c r="K13" s="30">
        <v>0.88352008503476687</v>
      </c>
      <c r="L13" s="30">
        <v>64371</v>
      </c>
      <c r="M13" s="30">
        <v>1.1170484736076995</v>
      </c>
      <c r="N13" s="30">
        <v>71099</v>
      </c>
      <c r="O13" s="30">
        <v>1.0113983126907198</v>
      </c>
      <c r="P13" s="30">
        <v>70708</v>
      </c>
      <c r="Q13" s="30">
        <v>1.2483065637294051</v>
      </c>
      <c r="R13" s="30">
        <v>78202</v>
      </c>
      <c r="S13" s="30">
        <v>1.2143288745660699</v>
      </c>
      <c r="T13" s="30">
        <v>95671</v>
      </c>
      <c r="U13" s="30">
        <v>0.98646736850321481</v>
      </c>
      <c r="V13" s="30">
        <v>113294</v>
      </c>
      <c r="W13" s="27">
        <f>'2021'!C13/'2020'!V13</f>
        <v>1.0002559711900012</v>
      </c>
      <c r="X13" s="19"/>
    </row>
    <row r="14" spans="1:24" ht="33.75" customHeight="1" x14ac:dyDescent="0.25">
      <c r="A14" s="74"/>
      <c r="B14" s="32" t="s">
        <v>17</v>
      </c>
      <c r="C14" s="30">
        <v>54226</v>
      </c>
      <c r="D14" s="30">
        <v>53176</v>
      </c>
      <c r="E14" s="30">
        <v>50681</v>
      </c>
      <c r="F14" s="30">
        <v>40851</v>
      </c>
      <c r="G14" s="30">
        <v>0.80652112142451227</v>
      </c>
      <c r="H14" s="30">
        <v>33565</v>
      </c>
      <c r="I14" s="30">
        <v>1.0030239863773818</v>
      </c>
      <c r="J14" s="30">
        <v>32456</v>
      </c>
      <c r="K14" s="30">
        <v>0.96554853061702373</v>
      </c>
      <c r="L14" s="30">
        <v>32676</v>
      </c>
      <c r="M14" s="30">
        <v>0.99414921029496472</v>
      </c>
      <c r="N14" s="30">
        <v>33390</v>
      </c>
      <c r="O14" s="30">
        <v>1.0696468866256021</v>
      </c>
      <c r="P14" s="30">
        <v>33442</v>
      </c>
      <c r="Q14" s="30">
        <v>1.1729003934089743</v>
      </c>
      <c r="R14" s="30">
        <v>35188</v>
      </c>
      <c r="S14" s="30">
        <v>1.1790584060472011</v>
      </c>
      <c r="T14" s="30">
        <v>46160</v>
      </c>
      <c r="U14" s="30">
        <v>1.0602762317048031</v>
      </c>
      <c r="V14" s="30">
        <v>58999</v>
      </c>
      <c r="W14" s="27">
        <f>'2021'!C14/'2020'!V14</f>
        <v>0.97799962711232391</v>
      </c>
      <c r="X14" s="19"/>
    </row>
    <row r="15" spans="1:24" ht="33.75" customHeight="1" x14ac:dyDescent="0.25">
      <c r="A15" s="75"/>
      <c r="B15" s="70" t="s">
        <v>21</v>
      </c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2"/>
      <c r="X15" s="19"/>
    </row>
    <row r="16" spans="1:24" ht="22.5" customHeight="1" x14ac:dyDescent="0.25">
      <c r="A16" s="34"/>
      <c r="B16" s="35"/>
      <c r="C16" s="30">
        <v>96313</v>
      </c>
      <c r="D16" s="30">
        <v>93804</v>
      </c>
      <c r="E16" s="30">
        <v>85421</v>
      </c>
      <c r="F16" s="30">
        <v>86719</v>
      </c>
      <c r="G16" s="30">
        <v>0.97537920169275172</v>
      </c>
      <c r="H16" s="30">
        <v>85773</v>
      </c>
      <c r="I16" s="30">
        <v>0.92996769553632486</v>
      </c>
      <c r="J16" s="30">
        <v>78549</v>
      </c>
      <c r="K16" s="30">
        <v>0.9124724257714445</v>
      </c>
      <c r="L16" s="30">
        <v>70734</v>
      </c>
      <c r="M16" s="30">
        <v>1.137105065718176</v>
      </c>
      <c r="N16" s="30">
        <v>76273</v>
      </c>
      <c r="O16" s="30">
        <v>1.0151633635541653</v>
      </c>
      <c r="P16" s="30">
        <v>78291</v>
      </c>
      <c r="Q16" s="30">
        <v>0.98203001817459645</v>
      </c>
      <c r="R16" s="30">
        <v>77867</v>
      </c>
      <c r="S16" s="30">
        <v>1.0941414389018262</v>
      </c>
      <c r="T16" s="30">
        <f>48613+17724+3016+1186+8214+3335+545+383+6178+61+758</f>
        <v>90013</v>
      </c>
      <c r="U16" s="30">
        <v>0.99064645853636679</v>
      </c>
      <c r="V16" s="30">
        <v>87823</v>
      </c>
      <c r="W16" s="27">
        <f>'2021'!C16/'2020'!V16</f>
        <v>1.1530464684649806</v>
      </c>
      <c r="X16" s="19"/>
    </row>
    <row r="17" spans="1:24" ht="22.5" customHeight="1" x14ac:dyDescent="0.25">
      <c r="A17" s="66" t="s">
        <v>18</v>
      </c>
      <c r="B17" s="67"/>
      <c r="C17" s="31">
        <f>SUM(C12:C14,C16)</f>
        <v>259843</v>
      </c>
      <c r="D17" s="31">
        <f t="shared" ref="D17:V17" si="1">SUM(D12:D14,D16)</f>
        <v>259299</v>
      </c>
      <c r="E17" s="31">
        <f t="shared" si="1"/>
        <v>222164</v>
      </c>
      <c r="F17" s="31">
        <f t="shared" si="1"/>
        <v>194783</v>
      </c>
      <c r="G17" s="31"/>
      <c r="H17" s="31">
        <f t="shared" si="1"/>
        <v>177219</v>
      </c>
      <c r="I17" s="31"/>
      <c r="J17" s="31">
        <f t="shared" si="1"/>
        <v>174066</v>
      </c>
      <c r="K17" s="31"/>
      <c r="L17" s="31">
        <f t="shared" si="1"/>
        <v>167781</v>
      </c>
      <c r="M17" s="31"/>
      <c r="N17" s="31">
        <f t="shared" si="1"/>
        <v>180762</v>
      </c>
      <c r="O17" s="31"/>
      <c r="P17" s="31">
        <f t="shared" si="1"/>
        <v>182441</v>
      </c>
      <c r="Q17" s="31"/>
      <c r="R17" s="31">
        <f t="shared" si="1"/>
        <v>191257</v>
      </c>
      <c r="S17" s="31"/>
      <c r="T17" s="31">
        <f t="shared" si="1"/>
        <v>231844</v>
      </c>
      <c r="U17" s="31"/>
      <c r="V17" s="31">
        <f t="shared" si="1"/>
        <v>260116</v>
      </c>
      <c r="X17" s="19"/>
    </row>
    <row r="18" spans="1:24" s="10" customFormat="1" ht="22.5" customHeight="1" x14ac:dyDescent="0.25">
      <c r="A18" s="66" t="s">
        <v>19</v>
      </c>
      <c r="B18" s="67"/>
      <c r="C18" s="31">
        <f>C11+C17</f>
        <v>50306127</v>
      </c>
      <c r="D18" s="31">
        <f t="shared" ref="D18:V18" si="2">D11+D17</f>
        <v>49232872</v>
      </c>
      <c r="E18" s="31">
        <f t="shared" si="2"/>
        <v>50659785</v>
      </c>
      <c r="F18" s="31">
        <f t="shared" si="2"/>
        <v>42903941</v>
      </c>
      <c r="G18" s="31"/>
      <c r="H18" s="31">
        <f t="shared" si="2"/>
        <v>35911943</v>
      </c>
      <c r="I18" s="31"/>
      <c r="J18" s="31">
        <f t="shared" si="2"/>
        <v>33886556</v>
      </c>
      <c r="K18" s="31"/>
      <c r="L18" s="31">
        <f t="shared" si="2"/>
        <v>34932234</v>
      </c>
      <c r="M18" s="31"/>
      <c r="N18" s="31">
        <f t="shared" si="2"/>
        <v>39506716</v>
      </c>
      <c r="O18" s="31"/>
      <c r="P18" s="31">
        <f t="shared" si="2"/>
        <v>41413172</v>
      </c>
      <c r="Q18" s="31"/>
      <c r="R18" s="31">
        <f t="shared" si="2"/>
        <v>44449706</v>
      </c>
      <c r="S18" s="31"/>
      <c r="T18" s="31">
        <f t="shared" si="2"/>
        <v>48052511</v>
      </c>
      <c r="U18" s="31"/>
      <c r="V18" s="31">
        <f t="shared" si="2"/>
        <v>54483578</v>
      </c>
      <c r="W18" s="29"/>
      <c r="X18" s="19"/>
    </row>
    <row r="19" spans="1:24" ht="22.5" customHeight="1" x14ac:dyDescent="0.25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</row>
    <row r="20" spans="1:24" ht="22.5" customHeight="1" x14ac:dyDescent="0.25">
      <c r="A20" s="36"/>
      <c r="B20" s="36"/>
      <c r="C20" s="36"/>
      <c r="D20" s="36"/>
      <c r="E20" s="36"/>
      <c r="F20" s="36"/>
      <c r="G20" s="36"/>
      <c r="H20" s="37"/>
      <c r="I20" s="37"/>
      <c r="J20" s="37"/>
      <c r="K20" s="37"/>
      <c r="L20" s="38"/>
      <c r="M20" s="38"/>
      <c r="N20" s="39"/>
      <c r="O20" s="39"/>
      <c r="P20" s="37"/>
      <c r="Q20" s="37"/>
      <c r="R20" s="37"/>
      <c r="S20" s="37"/>
      <c r="T20" s="36"/>
      <c r="U20" s="36"/>
      <c r="V20" s="36"/>
    </row>
    <row r="21" spans="1:24" ht="22.5" customHeight="1" x14ac:dyDescent="0.25">
      <c r="A21" s="36"/>
      <c r="B21" s="36"/>
      <c r="C21" s="36"/>
      <c r="D21" s="36"/>
      <c r="E21" s="40"/>
      <c r="F21" s="36"/>
      <c r="G21" s="36"/>
      <c r="H21" s="37"/>
      <c r="I21" s="37"/>
      <c r="J21" s="37"/>
      <c r="K21" s="37"/>
      <c r="L21" s="38"/>
      <c r="M21" s="38"/>
      <c r="N21" s="39"/>
      <c r="O21" s="39"/>
      <c r="P21" s="37"/>
      <c r="Q21" s="37"/>
      <c r="R21" s="37"/>
      <c r="S21" s="37"/>
      <c r="T21" s="36"/>
      <c r="U21" s="36"/>
      <c r="V21" s="36"/>
    </row>
    <row r="22" spans="1:24" ht="22.5" customHeight="1" x14ac:dyDescent="0.25">
      <c r="H22" s="20"/>
      <c r="I22" s="20"/>
      <c r="J22" s="20"/>
      <c r="K22" s="20"/>
      <c r="L22" s="21"/>
      <c r="M22" s="21"/>
      <c r="N22" s="22"/>
      <c r="O22" s="22"/>
      <c r="P22" s="20"/>
      <c r="Q22" s="20"/>
      <c r="R22" s="20"/>
      <c r="S22" s="20"/>
    </row>
    <row r="23" spans="1:24" ht="22.5" customHeight="1" x14ac:dyDescent="0.25">
      <c r="H23" s="20"/>
      <c r="I23" s="20"/>
      <c r="J23" s="20"/>
      <c r="K23" s="20"/>
      <c r="L23" s="21"/>
      <c r="M23" s="21"/>
      <c r="N23" s="22"/>
      <c r="O23" s="22"/>
      <c r="P23" s="20"/>
      <c r="Q23" s="20"/>
      <c r="R23" s="20"/>
      <c r="S23" s="20"/>
    </row>
    <row r="24" spans="1:24" ht="22.5" customHeight="1" x14ac:dyDescent="0.25">
      <c r="H24" s="20"/>
      <c r="I24" s="20"/>
      <c r="J24" s="20"/>
      <c r="K24" s="20"/>
      <c r="L24" s="21"/>
      <c r="M24" s="21"/>
      <c r="N24" s="22"/>
      <c r="O24" s="22"/>
      <c r="P24" s="20"/>
      <c r="Q24" s="20"/>
      <c r="R24" s="20"/>
      <c r="S24" s="20"/>
    </row>
    <row r="25" spans="1:24" ht="22.5" customHeight="1" x14ac:dyDescent="0.25"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</row>
    <row r="26" spans="1:24" ht="22.5" customHeight="1" x14ac:dyDescent="0.25"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</row>
    <row r="27" spans="1:24" ht="22.5" customHeight="1" x14ac:dyDescent="0.25"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</row>
    <row r="28" spans="1:24" ht="22.5" customHeight="1" x14ac:dyDescent="0.25"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</row>
    <row r="29" spans="1:24" ht="22.5" customHeight="1" x14ac:dyDescent="0.25"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</row>
    <row r="30" spans="1:24" ht="22.5" customHeight="1" x14ac:dyDescent="0.25"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</row>
    <row r="31" spans="1:24" ht="22.5" customHeight="1" x14ac:dyDescent="0.25"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</row>
    <row r="32" spans="1:24" ht="22.5" customHeight="1" x14ac:dyDescent="0.25"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</row>
    <row r="33" spans="8:19" ht="22.5" customHeight="1" x14ac:dyDescent="0.25"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</row>
    <row r="34" spans="8:19" ht="22.5" customHeight="1" x14ac:dyDescent="0.25"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</row>
  </sheetData>
  <mergeCells count="9">
    <mergeCell ref="A17:B17"/>
    <mergeCell ref="A18:B18"/>
    <mergeCell ref="A2:V2"/>
    <mergeCell ref="A4:A10"/>
    <mergeCell ref="B4:V4"/>
    <mergeCell ref="B9:V9"/>
    <mergeCell ref="A11:B11"/>
    <mergeCell ref="A12:A15"/>
    <mergeCell ref="B15:V15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I34"/>
  <sheetViews>
    <sheetView zoomScale="70" zoomScaleNormal="70" workbookViewId="0">
      <selection activeCell="AH16" sqref="AH16"/>
    </sheetView>
  </sheetViews>
  <sheetFormatPr defaultColWidth="9.140625" defaultRowHeight="15" x14ac:dyDescent="0.25"/>
  <cols>
    <col min="1" max="1" width="30" style="1" customWidth="1"/>
    <col min="2" max="2" width="14.85546875" style="1" customWidth="1"/>
    <col min="3" max="3" width="16" style="1" customWidth="1"/>
    <col min="4" max="4" width="16" style="1" hidden="1" customWidth="1"/>
    <col min="5" max="5" width="16.7109375" style="1" customWidth="1"/>
    <col min="6" max="6" width="16.7109375" style="1" hidden="1" customWidth="1"/>
    <col min="7" max="7" width="16.42578125" style="1" customWidth="1"/>
    <col min="8" max="8" width="16.42578125" style="1" hidden="1" customWidth="1"/>
    <col min="9" max="9" width="15.85546875" style="1" customWidth="1"/>
    <col min="10" max="11" width="15.85546875" style="1" hidden="1" customWidth="1"/>
    <col min="12" max="12" width="17.85546875" style="1" customWidth="1"/>
    <col min="13" max="14" width="17.85546875" style="1" hidden="1" customWidth="1"/>
    <col min="15" max="15" width="18.42578125" style="1" customWidth="1"/>
    <col min="16" max="17" width="18.42578125" style="1" hidden="1" customWidth="1"/>
    <col min="18" max="18" width="19.85546875" style="1" customWidth="1"/>
    <col min="19" max="20" width="19.85546875" style="1" hidden="1" customWidth="1"/>
    <col min="21" max="21" width="21" style="1" customWidth="1"/>
    <col min="22" max="23" width="21" style="1" hidden="1" customWidth="1"/>
    <col min="24" max="24" width="22.140625" style="1" customWidth="1"/>
    <col min="25" max="26" width="22.140625" style="1" hidden="1" customWidth="1"/>
    <col min="27" max="27" width="22.42578125" style="1" customWidth="1"/>
    <col min="28" max="29" width="22.42578125" style="1" hidden="1" customWidth="1"/>
    <col min="30" max="30" width="24.28515625" style="1" customWidth="1"/>
    <col min="31" max="32" width="24.28515625" style="1" hidden="1" customWidth="1"/>
    <col min="33" max="33" width="24.28515625" style="1" customWidth="1"/>
    <col min="34" max="34" width="9.140625" style="27"/>
    <col min="35" max="35" width="10.7109375" style="1" bestFit="1" customWidth="1"/>
    <col min="36" max="16384" width="9.140625" style="1"/>
  </cols>
  <sheetData>
    <row r="2" spans="1:35" ht="42.75" customHeight="1" x14ac:dyDescent="0.25">
      <c r="A2" s="54" t="s">
        <v>35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</row>
    <row r="3" spans="1:35" s="5" customFormat="1" ht="33" customHeight="1" x14ac:dyDescent="0.25">
      <c r="A3" s="2" t="s">
        <v>0</v>
      </c>
      <c r="B3" s="3" t="s">
        <v>1</v>
      </c>
      <c r="C3" s="4" t="s">
        <v>2</v>
      </c>
      <c r="D3" s="4"/>
      <c r="E3" s="4" t="s">
        <v>3</v>
      </c>
      <c r="F3" s="4"/>
      <c r="G3" s="4" t="s">
        <v>4</v>
      </c>
      <c r="H3" s="4"/>
      <c r="I3" s="4" t="s">
        <v>5</v>
      </c>
      <c r="J3" s="4"/>
      <c r="K3" s="4"/>
      <c r="L3" s="4" t="s">
        <v>6</v>
      </c>
      <c r="M3" s="4"/>
      <c r="N3" s="4"/>
      <c r="O3" s="4" t="s">
        <v>7</v>
      </c>
      <c r="P3" s="4"/>
      <c r="Q3" s="4"/>
      <c r="R3" s="4" t="s">
        <v>8</v>
      </c>
      <c r="S3" s="4"/>
      <c r="T3" s="4"/>
      <c r="U3" s="4" t="s">
        <v>9</v>
      </c>
      <c r="V3" s="4"/>
      <c r="W3" s="4"/>
      <c r="X3" s="4" t="s">
        <v>10</v>
      </c>
      <c r="Y3" s="4"/>
      <c r="Z3" s="4"/>
      <c r="AA3" s="4" t="s">
        <v>11</v>
      </c>
      <c r="AB3" s="4"/>
      <c r="AC3" s="4"/>
      <c r="AD3" s="4" t="s">
        <v>12</v>
      </c>
      <c r="AE3" s="4"/>
      <c r="AF3" s="4"/>
      <c r="AG3" s="4" t="s">
        <v>13</v>
      </c>
      <c r="AH3" s="28"/>
    </row>
    <row r="4" spans="1:35" ht="22.5" customHeight="1" x14ac:dyDescent="0.25">
      <c r="A4" s="68" t="s">
        <v>36</v>
      </c>
      <c r="B4" s="70" t="s">
        <v>20</v>
      </c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2"/>
    </row>
    <row r="5" spans="1:35" ht="22.5" customHeight="1" x14ac:dyDescent="0.25">
      <c r="A5" s="69"/>
      <c r="B5" s="32" t="s">
        <v>14</v>
      </c>
      <c r="C5" s="30">
        <v>47315613</v>
      </c>
      <c r="D5" s="30">
        <v>0.97240061336094241</v>
      </c>
      <c r="E5" s="30">
        <v>49227813</v>
      </c>
      <c r="F5" s="30">
        <v>1.0523368463602285</v>
      </c>
      <c r="G5" s="30">
        <v>48969691</v>
      </c>
      <c r="H5" s="30">
        <v>0.84443281893399302</v>
      </c>
      <c r="I5" s="30">
        <f>42852860</f>
        <v>42852860</v>
      </c>
      <c r="J5" s="30"/>
      <c r="K5" s="30">
        <v>0.84982059676773769</v>
      </c>
      <c r="L5" s="30">
        <f>33489089+6092986</f>
        <v>39582075</v>
      </c>
      <c r="M5" s="30"/>
      <c r="N5" s="30">
        <v>0.94295616553882011</v>
      </c>
      <c r="O5" s="30">
        <v>37975294</v>
      </c>
      <c r="P5" s="30"/>
      <c r="Q5" s="30">
        <v>1.0431088542718263</v>
      </c>
      <c r="R5" s="30">
        <v>40375805</v>
      </c>
      <c r="S5" s="30"/>
      <c r="T5" s="30">
        <v>1.1289150410121285</v>
      </c>
      <c r="U5" s="30">
        <v>41218716</v>
      </c>
      <c r="V5" s="30"/>
      <c r="W5" s="30">
        <v>1.0349084039274228</v>
      </c>
      <c r="X5" s="30">
        <f>'[1]Нижегородская область'!$L$315+'[1]Нижегородская область'!$L$324+'[1]Нижегородская область'!$L$350</f>
        <v>40620271.999999963</v>
      </c>
      <c r="Y5" s="30"/>
      <c r="Z5" s="30">
        <v>1.0855634054149352</v>
      </c>
      <c r="AA5" s="30">
        <v>42297488</v>
      </c>
      <c r="AB5" s="30"/>
      <c r="AC5" s="30">
        <v>1.065375620190619</v>
      </c>
      <c r="AD5" s="30">
        <v>44796809</v>
      </c>
      <c r="AE5" s="30"/>
      <c r="AF5" s="30">
        <v>1.1404794512843524</v>
      </c>
      <c r="AG5" s="30">
        <v>52607071</v>
      </c>
      <c r="AH5" s="27">
        <f>'2022'!D5/'2021'!AG5</f>
        <v>0.93877332573790317</v>
      </c>
      <c r="AI5" s="19"/>
    </row>
    <row r="6" spans="1:35" ht="22.5" customHeight="1" x14ac:dyDescent="0.25">
      <c r="A6" s="69"/>
      <c r="B6" s="32" t="s">
        <v>15</v>
      </c>
      <c r="C6" s="30">
        <v>655885</v>
      </c>
      <c r="D6" s="30">
        <v>0.96937500927175901</v>
      </c>
      <c r="E6" s="30">
        <v>697810</v>
      </c>
      <c r="F6" s="30">
        <v>0.69658548678850285</v>
      </c>
      <c r="G6" s="30">
        <f>642118</f>
        <v>642118</v>
      </c>
      <c r="H6" s="30">
        <v>0.77790153806947127</v>
      </c>
      <c r="I6" s="30">
        <f>377948</f>
        <v>377948</v>
      </c>
      <c r="J6" s="30"/>
      <c r="K6" s="30">
        <v>0.75470648373558968</v>
      </c>
      <c r="L6" s="30">
        <v>344152</v>
      </c>
      <c r="M6" s="30"/>
      <c r="N6" s="30">
        <v>0.69388282048115679</v>
      </c>
      <c r="O6" s="30">
        <f>359716+2591</f>
        <v>362307</v>
      </c>
      <c r="P6" s="30"/>
      <c r="Q6" s="30">
        <v>1.0583194464668035</v>
      </c>
      <c r="R6" s="30">
        <v>367084</v>
      </c>
      <c r="S6" s="30"/>
      <c r="T6" s="30">
        <v>1.0246380725740289</v>
      </c>
      <c r="U6" s="30">
        <v>312975</v>
      </c>
      <c r="V6" s="30"/>
      <c r="W6" s="30">
        <v>1.5642443653146074</v>
      </c>
      <c r="X6" s="30">
        <f>'[1]Нижегородская область'!$L$316+'[1]Нижегородская область'!$L$317+'[1]Нижегородская область'!$L$321+'[1]Нижегородская область'!$L$325+'[1]Нижегородская область'!$L$328</f>
        <v>328143</v>
      </c>
      <c r="Y6" s="30"/>
      <c r="Z6" s="30">
        <v>1.4906337034069665</v>
      </c>
      <c r="AA6" s="30">
        <v>484776</v>
      </c>
      <c r="AB6" s="30"/>
      <c r="AC6" s="30">
        <v>1.0710949297432879</v>
      </c>
      <c r="AD6" s="30">
        <v>559961</v>
      </c>
      <c r="AE6" s="30"/>
      <c r="AF6" s="30">
        <v>1.2418232324740883</v>
      </c>
      <c r="AG6" s="30">
        <v>722374</v>
      </c>
      <c r="AH6" s="27">
        <f>'2022'!D6/'2021'!AG6</f>
        <v>1.0162575064994033</v>
      </c>
      <c r="AI6" s="19"/>
    </row>
    <row r="7" spans="1:35" ht="22.5" customHeight="1" x14ac:dyDescent="0.25">
      <c r="A7" s="69"/>
      <c r="B7" s="32" t="s">
        <v>16</v>
      </c>
      <c r="C7" s="30">
        <f>2758142+71750</f>
        <v>2829892</v>
      </c>
      <c r="D7" s="30">
        <v>1.055146039042727</v>
      </c>
      <c r="E7" s="30">
        <f>3145436+69852</f>
        <v>3215288</v>
      </c>
      <c r="F7" s="30">
        <v>0.86755285278938654</v>
      </c>
      <c r="G7" s="30">
        <f>2150599+59387</f>
        <v>2209986</v>
      </c>
      <c r="H7" s="30">
        <v>0.8119721953467377</v>
      </c>
      <c r="I7" s="30">
        <f>1810518+60181</f>
        <v>1870699</v>
      </c>
      <c r="J7" s="30"/>
      <c r="K7" s="30">
        <v>0.55437956176122405</v>
      </c>
      <c r="L7" s="30">
        <f>1358554+23308+25425</f>
        <v>1407287</v>
      </c>
      <c r="M7" s="30"/>
      <c r="N7" s="30">
        <v>0.97648126811214697</v>
      </c>
      <c r="O7" s="30">
        <f>1279578+45489</f>
        <v>1325067</v>
      </c>
      <c r="P7" s="30"/>
      <c r="Q7" s="30">
        <v>0.81040783197580035</v>
      </c>
      <c r="R7" s="30">
        <v>1160954</v>
      </c>
      <c r="S7" s="30"/>
      <c r="T7" s="30">
        <v>1.2881720714758438</v>
      </c>
      <c r="U7" s="30">
        <f>1148192+14218</f>
        <v>1162410</v>
      </c>
      <c r="V7" s="30"/>
      <c r="W7" s="30">
        <v>1.3084179498719364</v>
      </c>
      <c r="X7" s="30">
        <f>'[1]Нижегородская область'!$L$318+'[1]Нижегородская область'!$L$319+'[1]Нижегородская область'!$L$322+'[1]Нижегородская область'!$L$326+'[1]Нижегородская область'!$L$329+'[1]Нижегородская область'!$L$351+24247</f>
        <v>1527670</v>
      </c>
      <c r="Y7" s="30"/>
      <c r="Z7" s="30">
        <v>0.94611257470985144</v>
      </c>
      <c r="AA7" s="30">
        <f>1584786+45767</f>
        <v>1630553</v>
      </c>
      <c r="AB7" s="30"/>
      <c r="AC7" s="30">
        <v>1.4467730011377169</v>
      </c>
      <c r="AD7" s="30">
        <f>2111606+51458</f>
        <v>2163064</v>
      </c>
      <c r="AE7" s="30"/>
      <c r="AF7" s="30">
        <v>1.0912937979823325</v>
      </c>
      <c r="AG7" s="30">
        <f>2367281+73059</f>
        <v>2440340</v>
      </c>
      <c r="AH7" s="27">
        <f>'2022'!D7/'2021'!AG7</f>
        <v>1.0935976134473064</v>
      </c>
      <c r="AI7" s="19"/>
    </row>
    <row r="8" spans="1:35" ht="22.5" customHeight="1" x14ac:dyDescent="0.25">
      <c r="A8" s="69"/>
      <c r="B8" s="32" t="s">
        <v>17</v>
      </c>
      <c r="C8" s="30">
        <f>346620+4464</f>
        <v>351084</v>
      </c>
      <c r="D8" s="30">
        <v>1.0543491498005144</v>
      </c>
      <c r="E8" s="30">
        <f>409955+4032</f>
        <v>413987</v>
      </c>
      <c r="F8" s="30">
        <v>0.84674847344957294</v>
      </c>
      <c r="G8" s="30">
        <f>341718+4464</f>
        <v>346182</v>
      </c>
      <c r="H8" s="30">
        <v>0.94371602500152696</v>
      </c>
      <c r="I8" s="30">
        <f>264356+4320</f>
        <v>268676</v>
      </c>
      <c r="J8" s="30"/>
      <c r="K8" s="30">
        <v>0.55458281646081653</v>
      </c>
      <c r="L8" s="30">
        <f>209696+608+4464</f>
        <v>214768</v>
      </c>
      <c r="M8" s="30"/>
      <c r="N8" s="30">
        <v>0.91050831897239193</v>
      </c>
      <c r="O8" s="30">
        <f>199064+4434</f>
        <v>203498</v>
      </c>
      <c r="P8" s="30"/>
      <c r="Q8" s="30">
        <v>0.97933418212579793</v>
      </c>
      <c r="R8" s="30">
        <v>238543</v>
      </c>
      <c r="S8" s="30"/>
      <c r="T8" s="30">
        <v>1.0710275236562095</v>
      </c>
      <c r="U8" s="30">
        <f>229736+4464</f>
        <v>234200</v>
      </c>
      <c r="V8" s="30"/>
      <c r="W8" s="30">
        <v>1.7485723130565127</v>
      </c>
      <c r="X8" s="30">
        <f>'[1]Нижегородская область'!$L$320+'[1]Нижегородская область'!$L$323+'[1]Нижегородская область'!$L$327+'[1]Нижегородская область'!$L$330+'[1]Нижегородская область'!$L$352+4320</f>
        <v>255877</v>
      </c>
      <c r="Y8" s="30"/>
      <c r="Z8" s="30">
        <v>0.59835817349130405</v>
      </c>
      <c r="AA8" s="30">
        <f>258092+4464</f>
        <v>262556</v>
      </c>
      <c r="AB8" s="30"/>
      <c r="AC8" s="30">
        <v>1.3962672563477665</v>
      </c>
      <c r="AD8" s="30">
        <f>308962+4786</f>
        <v>313748</v>
      </c>
      <c r="AE8" s="30"/>
      <c r="AF8" s="30">
        <v>1.0153632531061096</v>
      </c>
      <c r="AG8" s="30">
        <f>331594+4464</f>
        <v>336058</v>
      </c>
      <c r="AH8" s="27">
        <f>'2022'!D8/'2021'!AG8</f>
        <v>1.0355682650018747</v>
      </c>
      <c r="AI8" s="19"/>
    </row>
    <row r="9" spans="1:35" ht="22.5" customHeight="1" x14ac:dyDescent="0.25">
      <c r="A9" s="69"/>
      <c r="B9" s="70" t="s">
        <v>21</v>
      </c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2"/>
      <c r="AI9" s="19"/>
    </row>
    <row r="10" spans="1:35" ht="22.5" customHeight="1" x14ac:dyDescent="0.25">
      <c r="A10" s="69"/>
      <c r="B10" s="33"/>
      <c r="C10" s="31">
        <f>650141+883</f>
        <v>651024</v>
      </c>
      <c r="D10" s="31">
        <v>0.9368592854418063</v>
      </c>
      <c r="E10" s="30">
        <f>639446+3152</f>
        <v>642598</v>
      </c>
      <c r="F10" s="30">
        <v>0.93250591443017883</v>
      </c>
      <c r="G10" s="30">
        <f>587783+663</f>
        <v>588446</v>
      </c>
      <c r="H10" s="30">
        <v>1.2180055493527597</v>
      </c>
      <c r="I10" s="30">
        <f>571976+516</f>
        <v>572492</v>
      </c>
      <c r="J10" s="30"/>
      <c r="K10" s="30">
        <v>1.4144945030343734</v>
      </c>
      <c r="L10" s="30">
        <f>703300+376</f>
        <v>703676</v>
      </c>
      <c r="M10" s="30"/>
      <c r="N10" s="30">
        <v>0.9890504977483956</v>
      </c>
      <c r="O10" s="30">
        <f>795793+330</f>
        <v>796123</v>
      </c>
      <c r="P10" s="30"/>
      <c r="Q10" s="30">
        <v>0.974088306273733</v>
      </c>
      <c r="R10" s="30">
        <v>817786</v>
      </c>
      <c r="S10" s="30"/>
      <c r="T10" s="30">
        <v>1.0546504800162504</v>
      </c>
      <c r="U10" s="30">
        <f>821593+327</f>
        <v>821920</v>
      </c>
      <c r="V10" s="30"/>
      <c r="W10" s="30">
        <v>0.87814558244978114</v>
      </c>
      <c r="X10" s="30">
        <f>SUM('[1]Нижегородская область'!$L$331:$L$338)</f>
        <v>817851</v>
      </c>
      <c r="Y10" s="30"/>
      <c r="Z10" s="30">
        <v>0.90335741158224903</v>
      </c>
      <c r="AA10" s="30">
        <f>706496+408</f>
        <v>706904</v>
      </c>
      <c r="AB10" s="30"/>
      <c r="AC10" s="30">
        <v>0.92193602997367752</v>
      </c>
      <c r="AD10" s="30">
        <v>647345</v>
      </c>
      <c r="AE10" s="30"/>
      <c r="AF10" s="30">
        <v>0.86352784401537508</v>
      </c>
      <c r="AG10" s="30">
        <f>603822+966</f>
        <v>604788</v>
      </c>
      <c r="AH10" s="27">
        <f>'2022'!D10/'2021'!AG10</f>
        <v>1.1202685899852511</v>
      </c>
      <c r="AI10" s="19"/>
    </row>
    <row r="11" spans="1:35" ht="22.5" customHeight="1" x14ac:dyDescent="0.25">
      <c r="A11" s="66" t="s">
        <v>18</v>
      </c>
      <c r="B11" s="67"/>
      <c r="C11" s="31">
        <f t="shared" ref="C11:AG11" si="0">SUM(C5:C8,C10)</f>
        <v>51803498</v>
      </c>
      <c r="D11" s="31"/>
      <c r="E11" s="31">
        <f t="shared" si="0"/>
        <v>54197496</v>
      </c>
      <c r="F11" s="31"/>
      <c r="G11" s="31">
        <f t="shared" si="0"/>
        <v>52756423</v>
      </c>
      <c r="H11" s="31"/>
      <c r="I11" s="31">
        <f t="shared" si="0"/>
        <v>45942675</v>
      </c>
      <c r="J11" s="31"/>
      <c r="K11" s="31"/>
      <c r="L11" s="31">
        <f t="shared" si="0"/>
        <v>42251958</v>
      </c>
      <c r="M11" s="31"/>
      <c r="N11" s="31"/>
      <c r="O11" s="31">
        <f t="shared" si="0"/>
        <v>40662289</v>
      </c>
      <c r="P11" s="31"/>
      <c r="Q11" s="31"/>
      <c r="R11" s="31">
        <f t="shared" si="0"/>
        <v>42960172</v>
      </c>
      <c r="S11" s="31"/>
      <c r="T11" s="31"/>
      <c r="U11" s="31">
        <f t="shared" si="0"/>
        <v>43750221</v>
      </c>
      <c r="V11" s="31"/>
      <c r="W11" s="31"/>
      <c r="X11" s="31">
        <f t="shared" si="0"/>
        <v>43549812.999999963</v>
      </c>
      <c r="Y11" s="31"/>
      <c r="Z11" s="31"/>
      <c r="AA11" s="31">
        <f t="shared" si="0"/>
        <v>45382277</v>
      </c>
      <c r="AB11" s="31"/>
      <c r="AC11" s="31"/>
      <c r="AD11" s="31">
        <f t="shared" si="0"/>
        <v>48480927</v>
      </c>
      <c r="AE11" s="31"/>
      <c r="AF11" s="31"/>
      <c r="AG11" s="31">
        <f t="shared" si="0"/>
        <v>56710631</v>
      </c>
      <c r="AI11" s="19"/>
    </row>
    <row r="12" spans="1:35" ht="22.5" customHeight="1" x14ac:dyDescent="0.25">
      <c r="A12" s="68" t="s">
        <v>34</v>
      </c>
      <c r="B12" s="32" t="s">
        <v>15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  <c r="H12" s="30">
        <v>0</v>
      </c>
      <c r="I12" s="30">
        <f t="shared" ref="I12" si="1">G12*H12</f>
        <v>0</v>
      </c>
      <c r="J12" s="30"/>
      <c r="K12" s="30">
        <v>0</v>
      </c>
      <c r="L12" s="30">
        <v>0</v>
      </c>
      <c r="M12" s="30"/>
      <c r="N12" s="30">
        <v>0</v>
      </c>
      <c r="O12" s="30">
        <v>0</v>
      </c>
      <c r="P12" s="30"/>
      <c r="Q12" s="30"/>
      <c r="R12" s="30">
        <v>0</v>
      </c>
      <c r="S12" s="30"/>
      <c r="T12" s="30">
        <v>0</v>
      </c>
      <c r="U12" s="30">
        <v>0</v>
      </c>
      <c r="V12" s="30"/>
      <c r="W12" s="30"/>
      <c r="X12" s="30">
        <v>0</v>
      </c>
      <c r="Y12" s="30"/>
      <c r="Z12" s="30"/>
      <c r="AA12" s="30">
        <v>0</v>
      </c>
      <c r="AB12" s="30"/>
      <c r="AC12" s="30">
        <v>0</v>
      </c>
      <c r="AD12" s="30">
        <v>4387</v>
      </c>
      <c r="AE12" s="30"/>
      <c r="AF12" s="30">
        <v>0</v>
      </c>
      <c r="AG12" s="30">
        <v>2790</v>
      </c>
      <c r="AH12" s="27">
        <f>'2022'!D12/'2021'!AG12</f>
        <v>0.97670250896057342</v>
      </c>
      <c r="AI12" s="19"/>
    </row>
    <row r="13" spans="1:35" ht="33.75" customHeight="1" x14ac:dyDescent="0.25">
      <c r="A13" s="69"/>
      <c r="B13" s="32" t="s">
        <v>16</v>
      </c>
      <c r="C13" s="30">
        <v>113323</v>
      </c>
      <c r="D13" s="30">
        <v>1.0275836199956085</v>
      </c>
      <c r="E13" s="30">
        <v>115344</v>
      </c>
      <c r="F13" s="30">
        <v>0.76622833180494843</v>
      </c>
      <c r="G13" s="30">
        <v>102959</v>
      </c>
      <c r="H13" s="30">
        <v>0.78098347702818893</v>
      </c>
      <c r="I13" s="30">
        <v>91714</v>
      </c>
      <c r="J13" s="30"/>
      <c r="K13" s="30">
        <v>0.86115781173284933</v>
      </c>
      <c r="L13" s="30">
        <v>72969</v>
      </c>
      <c r="M13" s="30"/>
      <c r="N13" s="30">
        <v>1.089493961749106</v>
      </c>
      <c r="O13" s="30">
        <v>83996</v>
      </c>
      <c r="P13" s="30"/>
      <c r="Q13" s="30">
        <v>1.0207735367342732</v>
      </c>
      <c r="R13" s="30">
        <v>72106</v>
      </c>
      <c r="S13" s="30"/>
      <c r="T13" s="30">
        <v>1.1045191157508816</v>
      </c>
      <c r="U13" s="30">
        <v>83119</v>
      </c>
      <c r="V13" s="30"/>
      <c r="W13" s="30">
        <v>0.99450062588784649</v>
      </c>
      <c r="X13" s="30">
        <v>82501</v>
      </c>
      <c r="Y13" s="30"/>
      <c r="Z13" s="30">
        <v>1.1059851784805115</v>
      </c>
      <c r="AA13" s="30">
        <v>99510</v>
      </c>
      <c r="AB13" s="30"/>
      <c r="AC13" s="30">
        <v>1.2233830336820031</v>
      </c>
      <c r="AD13" s="30">
        <v>110048</v>
      </c>
      <c r="AE13" s="30"/>
      <c r="AF13" s="30">
        <v>1.1842041998097648</v>
      </c>
      <c r="AG13" s="30">
        <v>101876</v>
      </c>
      <c r="AH13" s="27">
        <f>'2022'!D13/'2021'!AG13</f>
        <v>1.0905807059562604</v>
      </c>
      <c r="AI13" s="19"/>
    </row>
    <row r="14" spans="1:35" ht="33.75" customHeight="1" x14ac:dyDescent="0.25">
      <c r="A14" s="69"/>
      <c r="B14" s="32" t="s">
        <v>17</v>
      </c>
      <c r="C14" s="30">
        <v>57701</v>
      </c>
      <c r="D14" s="30">
        <v>0.9806365949913326</v>
      </c>
      <c r="E14" s="30">
        <v>56782</v>
      </c>
      <c r="F14" s="30">
        <v>0.95308033699413264</v>
      </c>
      <c r="G14" s="30">
        <v>50831</v>
      </c>
      <c r="H14" s="30">
        <v>0.80604171188413809</v>
      </c>
      <c r="I14" s="30">
        <v>39446</v>
      </c>
      <c r="J14" s="30"/>
      <c r="K14" s="30">
        <v>0.82164451298621821</v>
      </c>
      <c r="L14" s="30">
        <v>35208</v>
      </c>
      <c r="M14" s="30"/>
      <c r="N14" s="30">
        <v>0.96695963056755552</v>
      </c>
      <c r="O14" s="30">
        <v>36860</v>
      </c>
      <c r="P14" s="30"/>
      <c r="Q14" s="30">
        <v>1.0067784076904116</v>
      </c>
      <c r="R14" s="30">
        <v>39761</v>
      </c>
      <c r="S14" s="30"/>
      <c r="T14" s="30">
        <v>1.0218508997429305</v>
      </c>
      <c r="U14" s="30">
        <v>40324</v>
      </c>
      <c r="V14" s="30"/>
      <c r="W14" s="30">
        <v>1.0015573525007486</v>
      </c>
      <c r="X14" s="30">
        <v>38335</v>
      </c>
      <c r="Y14" s="30"/>
      <c r="Z14" s="30">
        <v>1.0522097960648287</v>
      </c>
      <c r="AA14" s="30">
        <v>39016</v>
      </c>
      <c r="AB14" s="30"/>
      <c r="AC14" s="30">
        <v>1.3118108446061156</v>
      </c>
      <c r="AD14" s="30">
        <v>41930</v>
      </c>
      <c r="AE14" s="30"/>
      <c r="AF14" s="30">
        <v>1.2781412478336223</v>
      </c>
      <c r="AG14" s="30">
        <v>50011</v>
      </c>
      <c r="AH14" s="27">
        <f>'2022'!D14/'2021'!AG14</f>
        <v>1.1034172482053948</v>
      </c>
      <c r="AI14" s="19"/>
    </row>
    <row r="15" spans="1:35" ht="33.75" customHeight="1" x14ac:dyDescent="0.25">
      <c r="A15" s="76"/>
      <c r="B15" s="70" t="s">
        <v>21</v>
      </c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2"/>
      <c r="AI15" s="19"/>
    </row>
    <row r="16" spans="1:35" ht="22.5" customHeight="1" x14ac:dyDescent="0.25">
      <c r="A16" s="41"/>
      <c r="B16" s="42"/>
      <c r="C16" s="30">
        <v>101264</v>
      </c>
      <c r="D16" s="30">
        <v>0.97394951875655411</v>
      </c>
      <c r="E16" s="30">
        <v>89567</v>
      </c>
      <c r="F16" s="30">
        <v>0.91063280883544406</v>
      </c>
      <c r="G16" s="30">
        <v>82561</v>
      </c>
      <c r="H16" s="30">
        <v>1.01519532667611</v>
      </c>
      <c r="I16" s="30">
        <v>77716</v>
      </c>
      <c r="J16" s="30"/>
      <c r="K16" s="30">
        <v>0.98909120261995642</v>
      </c>
      <c r="L16" s="30">
        <v>80329</v>
      </c>
      <c r="M16" s="30"/>
      <c r="N16" s="30">
        <v>0.91577769228078765</v>
      </c>
      <c r="O16" s="30">
        <v>72831</v>
      </c>
      <c r="P16" s="30"/>
      <c r="Q16" s="30">
        <v>0.90050796318221749</v>
      </c>
      <c r="R16" s="30">
        <v>71352</v>
      </c>
      <c r="S16" s="30"/>
      <c r="T16" s="30">
        <v>1.0783074617581361</v>
      </c>
      <c r="U16" s="30">
        <v>74322</v>
      </c>
      <c r="V16" s="30"/>
      <c r="W16" s="30">
        <v>1.0264575931194524</v>
      </c>
      <c r="X16" s="30">
        <f>SUM('[1]Нижегородская область'!$L$342:$L$349)</f>
        <v>77026</v>
      </c>
      <c r="Y16" s="30"/>
      <c r="Z16" s="30">
        <v>0.99458430726392566</v>
      </c>
      <c r="AA16" s="30">
        <v>85061</v>
      </c>
      <c r="AB16" s="30"/>
      <c r="AC16" s="30">
        <v>1.1559839213017067</v>
      </c>
      <c r="AD16" s="30">
        <v>87549</v>
      </c>
      <c r="AE16" s="30"/>
      <c r="AF16" s="30">
        <v>0.97567018097385938</v>
      </c>
      <c r="AG16" s="30">
        <v>87591</v>
      </c>
      <c r="AH16" s="27">
        <f>'2022'!D16/'2021'!AG16</f>
        <v>1.1185395759838339</v>
      </c>
      <c r="AI16" s="19"/>
    </row>
    <row r="17" spans="1:35" ht="22.5" customHeight="1" x14ac:dyDescent="0.25">
      <c r="A17" s="66" t="s">
        <v>18</v>
      </c>
      <c r="B17" s="67"/>
      <c r="C17" s="31">
        <f>SUM(C12:C14,C16)</f>
        <v>272288</v>
      </c>
      <c r="D17" s="31"/>
      <c r="E17" s="31">
        <f t="shared" ref="E17:AG17" si="2">SUM(E12:E14,E16)</f>
        <v>261693</v>
      </c>
      <c r="F17" s="31"/>
      <c r="G17" s="31">
        <f t="shared" si="2"/>
        <v>236351</v>
      </c>
      <c r="H17" s="31"/>
      <c r="I17" s="31">
        <f t="shared" si="2"/>
        <v>208876</v>
      </c>
      <c r="J17" s="31"/>
      <c r="K17" s="31"/>
      <c r="L17" s="31">
        <f t="shared" si="2"/>
        <v>188506</v>
      </c>
      <c r="M17" s="31"/>
      <c r="N17" s="31"/>
      <c r="O17" s="31">
        <f t="shared" si="2"/>
        <v>193687</v>
      </c>
      <c r="P17" s="31"/>
      <c r="Q17" s="31"/>
      <c r="R17" s="31">
        <f t="shared" si="2"/>
        <v>183219</v>
      </c>
      <c r="S17" s="31"/>
      <c r="T17" s="31"/>
      <c r="U17" s="31">
        <f t="shared" si="2"/>
        <v>197765</v>
      </c>
      <c r="V17" s="31"/>
      <c r="W17" s="31"/>
      <c r="X17" s="31">
        <f t="shared" si="2"/>
        <v>197862</v>
      </c>
      <c r="Y17" s="31"/>
      <c r="Z17" s="31"/>
      <c r="AA17" s="31">
        <f t="shared" si="2"/>
        <v>223587</v>
      </c>
      <c r="AB17" s="31"/>
      <c r="AC17" s="31"/>
      <c r="AD17" s="31">
        <f t="shared" si="2"/>
        <v>243914</v>
      </c>
      <c r="AE17" s="31"/>
      <c r="AF17" s="31"/>
      <c r="AG17" s="31">
        <f t="shared" si="2"/>
        <v>242268</v>
      </c>
      <c r="AI17" s="19"/>
    </row>
    <row r="18" spans="1:35" s="10" customFormat="1" ht="22.5" customHeight="1" x14ac:dyDescent="0.25">
      <c r="A18" s="66" t="s">
        <v>19</v>
      </c>
      <c r="B18" s="67"/>
      <c r="C18" s="31">
        <f>C11+C17</f>
        <v>52075786</v>
      </c>
      <c r="D18" s="31"/>
      <c r="E18" s="31">
        <f t="shared" ref="E18:AG18" si="3">E11+E17</f>
        <v>54459189</v>
      </c>
      <c r="F18" s="31"/>
      <c r="G18" s="31">
        <f t="shared" si="3"/>
        <v>52992774</v>
      </c>
      <c r="H18" s="31"/>
      <c r="I18" s="31">
        <f t="shared" si="3"/>
        <v>46151551</v>
      </c>
      <c r="J18" s="31"/>
      <c r="K18" s="31"/>
      <c r="L18" s="31">
        <f t="shared" si="3"/>
        <v>42440464</v>
      </c>
      <c r="M18" s="31"/>
      <c r="N18" s="31"/>
      <c r="O18" s="31">
        <f t="shared" si="3"/>
        <v>40855976</v>
      </c>
      <c r="P18" s="31"/>
      <c r="Q18" s="31"/>
      <c r="R18" s="31">
        <f t="shared" si="3"/>
        <v>43143391</v>
      </c>
      <c r="S18" s="31"/>
      <c r="T18" s="31"/>
      <c r="U18" s="31">
        <f t="shared" si="3"/>
        <v>43947986</v>
      </c>
      <c r="V18" s="31"/>
      <c r="W18" s="31"/>
      <c r="X18" s="31">
        <f t="shared" si="3"/>
        <v>43747674.999999963</v>
      </c>
      <c r="Y18" s="31"/>
      <c r="Z18" s="31"/>
      <c r="AA18" s="31">
        <f t="shared" si="3"/>
        <v>45605864</v>
      </c>
      <c r="AB18" s="31"/>
      <c r="AC18" s="31"/>
      <c r="AD18" s="31">
        <f t="shared" si="3"/>
        <v>48724841</v>
      </c>
      <c r="AE18" s="31"/>
      <c r="AF18" s="31"/>
      <c r="AG18" s="31">
        <f t="shared" si="3"/>
        <v>56952899</v>
      </c>
      <c r="AH18" s="29"/>
      <c r="AI18" s="19"/>
    </row>
    <row r="19" spans="1:35" ht="22.5" customHeight="1" x14ac:dyDescent="0.25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</row>
    <row r="20" spans="1:35" ht="22.5" customHeight="1" x14ac:dyDescent="0.25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7"/>
      <c r="M20" s="37"/>
      <c r="N20" s="37"/>
      <c r="O20" s="37"/>
      <c r="P20" s="37"/>
      <c r="Q20" s="37"/>
      <c r="R20" s="38"/>
      <c r="S20" s="38"/>
      <c r="T20" s="38"/>
      <c r="U20" s="39"/>
      <c r="V20" s="39"/>
      <c r="W20" s="39"/>
      <c r="X20" s="37"/>
      <c r="Y20" s="37"/>
      <c r="Z20" s="37"/>
      <c r="AA20" s="37"/>
      <c r="AB20" s="37"/>
      <c r="AC20" s="37"/>
      <c r="AD20" s="36"/>
      <c r="AE20" s="36"/>
      <c r="AF20" s="36"/>
      <c r="AG20" s="36"/>
    </row>
    <row r="21" spans="1:35" ht="22.5" customHeight="1" x14ac:dyDescent="0.25">
      <c r="A21" s="36"/>
      <c r="B21" s="36"/>
      <c r="C21" s="36"/>
      <c r="D21" s="36"/>
      <c r="E21" s="36"/>
      <c r="F21" s="36"/>
      <c r="G21" s="40"/>
      <c r="H21" s="40"/>
      <c r="I21" s="36"/>
      <c r="J21" s="36"/>
      <c r="K21" s="36"/>
      <c r="L21" s="37"/>
      <c r="M21" s="37"/>
      <c r="N21" s="37"/>
      <c r="O21" s="37"/>
      <c r="P21" s="37"/>
      <c r="Q21" s="37"/>
      <c r="R21" s="38"/>
      <c r="S21" s="38"/>
      <c r="T21" s="38"/>
      <c r="U21" s="39"/>
      <c r="V21" s="39"/>
      <c r="W21" s="39"/>
      <c r="X21" s="37"/>
      <c r="Y21" s="37"/>
      <c r="Z21" s="37"/>
      <c r="AA21" s="37"/>
      <c r="AB21" s="37"/>
      <c r="AC21" s="37"/>
      <c r="AD21" s="36"/>
      <c r="AE21" s="36"/>
      <c r="AF21" s="36"/>
      <c r="AG21" s="36"/>
    </row>
    <row r="22" spans="1:35" ht="22.5" customHeight="1" x14ac:dyDescent="0.25">
      <c r="L22" s="20"/>
      <c r="M22" s="20"/>
      <c r="N22" s="20"/>
      <c r="O22" s="20"/>
      <c r="P22" s="20"/>
      <c r="Q22" s="20"/>
      <c r="R22" s="21"/>
      <c r="S22" s="21"/>
      <c r="T22" s="21"/>
      <c r="U22" s="22"/>
      <c r="V22" s="22"/>
      <c r="W22" s="22"/>
      <c r="X22" s="20"/>
      <c r="Y22" s="20"/>
      <c r="Z22" s="20"/>
      <c r="AA22" s="20"/>
      <c r="AB22" s="20"/>
      <c r="AC22" s="20"/>
    </row>
    <row r="23" spans="1:35" ht="22.5" customHeight="1" x14ac:dyDescent="0.25">
      <c r="L23" s="20"/>
      <c r="M23" s="20"/>
      <c r="N23" s="20"/>
      <c r="O23" s="20"/>
      <c r="P23" s="20"/>
      <c r="Q23" s="20"/>
      <c r="R23" s="21"/>
      <c r="S23" s="21"/>
      <c r="T23" s="21"/>
      <c r="U23" s="22"/>
      <c r="V23" s="22"/>
      <c r="W23" s="22"/>
      <c r="X23" s="20"/>
      <c r="Y23" s="20"/>
      <c r="Z23" s="20"/>
      <c r="AA23" s="20"/>
      <c r="AB23" s="20"/>
      <c r="AC23" s="20"/>
    </row>
    <row r="24" spans="1:35" ht="22.5" customHeight="1" x14ac:dyDescent="0.25">
      <c r="L24" s="20"/>
      <c r="M24" s="20"/>
      <c r="N24" s="20"/>
      <c r="O24" s="20"/>
      <c r="P24" s="20"/>
      <c r="Q24" s="20"/>
      <c r="R24" s="21"/>
      <c r="S24" s="21"/>
      <c r="T24" s="21"/>
      <c r="U24" s="22"/>
      <c r="V24" s="22"/>
      <c r="W24" s="22"/>
      <c r="X24" s="20"/>
      <c r="Y24" s="20"/>
      <c r="Z24" s="20"/>
      <c r="AA24" s="20"/>
      <c r="AB24" s="20"/>
      <c r="AC24" s="20"/>
    </row>
    <row r="25" spans="1:35" ht="22.5" customHeight="1" x14ac:dyDescent="0.25"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</row>
    <row r="26" spans="1:35" ht="22.5" customHeight="1" x14ac:dyDescent="0.25"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</row>
    <row r="27" spans="1:35" ht="22.5" customHeight="1" x14ac:dyDescent="0.25"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</row>
    <row r="28" spans="1:35" ht="22.5" customHeight="1" x14ac:dyDescent="0.25"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</row>
    <row r="29" spans="1:35" ht="22.5" customHeight="1" x14ac:dyDescent="0.25"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</row>
    <row r="30" spans="1:35" ht="22.5" customHeight="1" x14ac:dyDescent="0.25"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</row>
    <row r="31" spans="1:35" ht="22.5" customHeight="1" x14ac:dyDescent="0.25"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</row>
    <row r="32" spans="1:35" ht="22.5" customHeight="1" x14ac:dyDescent="0.25"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</row>
    <row r="33" spans="12:29" ht="22.5" customHeight="1" x14ac:dyDescent="0.25"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</row>
    <row r="34" spans="12:29" ht="22.5" customHeight="1" x14ac:dyDescent="0.25"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</row>
  </sheetData>
  <mergeCells count="9">
    <mergeCell ref="A17:B17"/>
    <mergeCell ref="A18:B18"/>
    <mergeCell ref="A2:AG2"/>
    <mergeCell ref="A4:A10"/>
    <mergeCell ref="B4:AG4"/>
    <mergeCell ref="B9:AG9"/>
    <mergeCell ref="A11:B11"/>
    <mergeCell ref="A12:A15"/>
    <mergeCell ref="B15:AG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 Наталья Анатольевна</dc:creator>
  <cp:lastModifiedBy>Рощин Игорь Сергеевич</cp:lastModifiedBy>
  <dcterms:created xsi:type="dcterms:W3CDTF">2013-11-13T16:10:49Z</dcterms:created>
  <dcterms:modified xsi:type="dcterms:W3CDTF">2025-01-23T09:16:41Z</dcterms:modified>
</cp:coreProperties>
</file>