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реализации\для сайта\_ТСО\по факту\"/>
    </mc:Choice>
  </mc:AlternateContent>
  <bookViews>
    <workbookView xWindow="-15" yWindow="345" windowWidth="10200" windowHeight="7395" firstSheet="8" activeTab="8"/>
  </bookViews>
  <sheets>
    <sheet name="2013" sheetId="15" state="hidden" r:id="rId1"/>
    <sheet name="2014" sheetId="16" state="hidden" r:id="rId2"/>
    <sheet name="2015" sheetId="17" state="hidden" r:id="rId3"/>
    <sheet name="2016" sheetId="12" state="hidden" r:id="rId4"/>
    <sheet name="2017" sheetId="18" state="hidden" r:id="rId5"/>
    <sheet name="2018" sheetId="19" state="hidden" r:id="rId6"/>
    <sheet name="2019" sheetId="20" state="hidden" r:id="rId7"/>
    <sheet name="2020" sheetId="21" state="hidden" r:id="rId8"/>
    <sheet name="2024" sheetId="25" r:id="rId9"/>
  </sheets>
  <calcPr calcId="162913"/>
</workbook>
</file>

<file path=xl/calcChain.xml><?xml version="1.0" encoding="utf-8"?>
<calcChain xmlns="http://schemas.openxmlformats.org/spreadsheetml/2006/main">
  <c r="N11" i="25" l="1"/>
  <c r="M11" i="25"/>
  <c r="L11" i="25"/>
  <c r="K11" i="25"/>
  <c r="J11" i="25"/>
  <c r="I11" i="25"/>
  <c r="H11" i="25"/>
  <c r="G11" i="25"/>
  <c r="W10" i="21" l="1"/>
  <c r="W8" i="21"/>
  <c r="W7" i="21"/>
  <c r="W6" i="21"/>
  <c r="W5" i="21"/>
  <c r="V8" i="21"/>
  <c r="V7" i="21"/>
  <c r="V6" i="21"/>
  <c r="V5" i="21"/>
  <c r="O6" i="20"/>
  <c r="R8" i="21"/>
  <c r="R7" i="21"/>
  <c r="R5" i="21"/>
  <c r="P8" i="21"/>
  <c r="P7" i="21"/>
  <c r="P5" i="21"/>
  <c r="P10" i="21"/>
  <c r="N8" i="21"/>
  <c r="N7" i="21"/>
  <c r="N5" i="21"/>
  <c r="N10" i="21"/>
  <c r="L8" i="21"/>
  <c r="L7" i="21"/>
  <c r="L5" i="21"/>
  <c r="J8" i="21"/>
  <c r="J7" i="21"/>
  <c r="J5" i="21"/>
  <c r="J10" i="21"/>
  <c r="H8" i="21"/>
  <c r="H7" i="21"/>
  <c r="H5" i="21"/>
  <c r="H10" i="21"/>
  <c r="F8" i="21"/>
  <c r="F7" i="21"/>
  <c r="F5" i="21"/>
  <c r="F10" i="21"/>
  <c r="E8" i="21"/>
  <c r="E7" i="21"/>
  <c r="E5" i="21"/>
  <c r="E10" i="21"/>
  <c r="D8" i="21"/>
  <c r="D7" i="21"/>
  <c r="D5" i="21"/>
  <c r="D10" i="21"/>
  <c r="Q6" i="20"/>
  <c r="C8" i="21"/>
  <c r="C7" i="21"/>
  <c r="C5" i="21"/>
  <c r="C10" i="21"/>
  <c r="C11" i="21"/>
  <c r="D11" i="21"/>
  <c r="E11" i="21"/>
  <c r="F11" i="21"/>
  <c r="H11" i="21"/>
  <c r="J11" i="21"/>
  <c r="L11" i="21"/>
  <c r="N11" i="21"/>
  <c r="P11" i="21"/>
  <c r="R11" i="21"/>
  <c r="T11" i="21"/>
  <c r="V11" i="21"/>
  <c r="N8" i="20"/>
  <c r="N7" i="20"/>
  <c r="N5" i="20"/>
  <c r="N10" i="20"/>
  <c r="M8" i="20"/>
  <c r="O8" i="20"/>
  <c r="M7" i="20"/>
  <c r="O7" i="20"/>
  <c r="M5" i="20"/>
  <c r="O5" i="20"/>
  <c r="M10" i="20"/>
  <c r="O10" i="20"/>
  <c r="L8" i="20"/>
  <c r="L7" i="20"/>
  <c r="L5" i="20"/>
  <c r="L10" i="20"/>
  <c r="K8" i="20"/>
  <c r="K7" i="20"/>
  <c r="K5" i="20"/>
  <c r="K10" i="20"/>
  <c r="J8" i="20"/>
  <c r="J7" i="20"/>
  <c r="J5" i="20"/>
  <c r="J10" i="20"/>
  <c r="I8" i="20"/>
  <c r="I7" i="20"/>
  <c r="I5" i="20"/>
  <c r="I10" i="20"/>
  <c r="H8" i="20"/>
  <c r="H7" i="20"/>
  <c r="H5" i="20"/>
  <c r="H10" i="20"/>
  <c r="G8" i="20"/>
  <c r="G7" i="20"/>
  <c r="G5" i="20"/>
  <c r="G10" i="20"/>
  <c r="F8" i="20"/>
  <c r="F7" i="20"/>
  <c r="F5" i="20"/>
  <c r="F10" i="20"/>
  <c r="E8" i="20"/>
  <c r="E7" i="20"/>
  <c r="E5" i="20"/>
  <c r="E10" i="20"/>
  <c r="D8" i="20"/>
  <c r="D7" i="20"/>
  <c r="D5" i="20"/>
  <c r="D10" i="20"/>
  <c r="C8" i="20"/>
  <c r="Q8" i="20"/>
  <c r="C7" i="20"/>
  <c r="Q7" i="20"/>
  <c r="C5" i="20"/>
  <c r="Q5" i="20"/>
  <c r="C10" i="20"/>
  <c r="Q10" i="20"/>
  <c r="N14" i="20"/>
  <c r="N15" i="20"/>
  <c r="M14" i="20"/>
  <c r="M15" i="20"/>
  <c r="L14" i="20"/>
  <c r="L15" i="20"/>
  <c r="K14" i="20"/>
  <c r="K15" i="20"/>
  <c r="J14" i="20"/>
  <c r="J15" i="20"/>
  <c r="I14" i="20"/>
  <c r="I15" i="20"/>
  <c r="H14" i="20"/>
  <c r="H15" i="20"/>
  <c r="G14" i="20"/>
  <c r="G15" i="20"/>
  <c r="F14" i="20"/>
  <c r="F15" i="20"/>
  <c r="E14" i="20"/>
  <c r="E15" i="20"/>
  <c r="D14" i="20"/>
  <c r="D15" i="20"/>
  <c r="C14" i="20"/>
  <c r="C15" i="20"/>
  <c r="N8" i="19"/>
  <c r="N7" i="19"/>
  <c r="N5" i="19"/>
  <c r="N10" i="19"/>
  <c r="M8" i="19"/>
  <c r="M7" i="19"/>
  <c r="M5" i="19"/>
  <c r="L10" i="19"/>
  <c r="M10" i="19"/>
  <c r="L8" i="19"/>
  <c r="L7" i="19"/>
  <c r="L5" i="19"/>
  <c r="K8" i="19"/>
  <c r="K7" i="19"/>
  <c r="K5" i="19"/>
  <c r="K10" i="19"/>
  <c r="J8" i="19"/>
  <c r="J7" i="19"/>
  <c r="J5" i="19"/>
  <c r="J10" i="19"/>
  <c r="I8" i="19"/>
  <c r="I7" i="19"/>
  <c r="I5" i="19"/>
  <c r="I10" i="19"/>
  <c r="H8" i="19"/>
  <c r="H7" i="19"/>
  <c r="H5" i="19"/>
  <c r="H10" i="19"/>
  <c r="G8" i="19"/>
  <c r="G7" i="19"/>
  <c r="G5" i="19"/>
  <c r="G10" i="19"/>
  <c r="F10" i="19"/>
  <c r="F8" i="19"/>
  <c r="F7" i="19"/>
  <c r="F5" i="19"/>
  <c r="E8" i="19"/>
  <c r="E7" i="19"/>
  <c r="E5" i="19"/>
  <c r="E10" i="19"/>
  <c r="D8" i="19"/>
  <c r="D7" i="19"/>
  <c r="D5" i="19"/>
  <c r="D10" i="19"/>
  <c r="C10" i="19"/>
  <c r="C8" i="19"/>
  <c r="C7" i="19"/>
  <c r="C5" i="19"/>
  <c r="K14" i="19"/>
  <c r="K15" i="19"/>
  <c r="G14" i="19"/>
  <c r="G15" i="19"/>
  <c r="C14" i="19"/>
  <c r="C15" i="19"/>
  <c r="N14" i="19"/>
  <c r="N15" i="19"/>
  <c r="M14" i="19"/>
  <c r="M15" i="19"/>
  <c r="L14" i="19"/>
  <c r="L15" i="19"/>
  <c r="J14" i="19"/>
  <c r="J15" i="19"/>
  <c r="I14" i="19"/>
  <c r="I15" i="19"/>
  <c r="H14" i="19"/>
  <c r="H15" i="19"/>
  <c r="F14" i="19"/>
  <c r="F15" i="19"/>
  <c r="E14" i="19"/>
  <c r="E15" i="19"/>
  <c r="D14" i="19"/>
  <c r="D15" i="19"/>
  <c r="N9" i="18"/>
  <c r="N8" i="18"/>
  <c r="N6" i="18"/>
  <c r="N11" i="18"/>
  <c r="M11" i="18"/>
  <c r="M9" i="18"/>
  <c r="M8" i="18"/>
  <c r="M6" i="18"/>
  <c r="L9" i="18"/>
  <c r="L8" i="18"/>
  <c r="L6" i="18"/>
  <c r="L11" i="18"/>
  <c r="K9" i="18"/>
  <c r="K8" i="18"/>
  <c r="K6" i="18"/>
  <c r="K11" i="18"/>
  <c r="I9" i="18"/>
  <c r="I8" i="18"/>
  <c r="I6" i="18"/>
  <c r="I11" i="18"/>
  <c r="J11" i="18"/>
  <c r="J9" i="18"/>
  <c r="J8" i="18"/>
  <c r="J6" i="18"/>
  <c r="J7" i="18"/>
  <c r="J15" i="18"/>
  <c r="J16" i="18"/>
  <c r="I15" i="18"/>
  <c r="I16" i="18"/>
  <c r="H9" i="18"/>
  <c r="H8" i="18"/>
  <c r="H6" i="18"/>
  <c r="G9" i="18"/>
  <c r="G8" i="18"/>
  <c r="G6" i="18"/>
  <c r="F9" i="18"/>
  <c r="F8" i="18"/>
  <c r="F6" i="18"/>
  <c r="E9" i="18"/>
  <c r="E8" i="18"/>
  <c r="E6" i="18"/>
  <c r="D9" i="18"/>
  <c r="D8" i="18"/>
  <c r="D6" i="18"/>
  <c r="C9" i="18"/>
  <c r="C8" i="18"/>
  <c r="C6" i="18"/>
  <c r="G11" i="18"/>
  <c r="H11" i="18"/>
  <c r="G15" i="18"/>
  <c r="G16" i="18"/>
  <c r="F11" i="18"/>
  <c r="E11" i="18"/>
  <c r="D11" i="18"/>
  <c r="C11" i="18"/>
  <c r="N15" i="18"/>
  <c r="N16" i="18"/>
  <c r="M15" i="18"/>
  <c r="M16" i="18"/>
  <c r="L15" i="18"/>
  <c r="L16" i="18"/>
  <c r="K15" i="18"/>
  <c r="K16" i="18"/>
  <c r="H15" i="18"/>
  <c r="H16" i="18"/>
  <c r="F15" i="18"/>
  <c r="F16" i="18"/>
  <c r="E15" i="18"/>
  <c r="E16" i="18"/>
  <c r="D15" i="18"/>
  <c r="D16" i="18"/>
  <c r="C15" i="18"/>
  <c r="C16" i="18"/>
  <c r="D15" i="12"/>
  <c r="E15" i="12"/>
  <c r="F15" i="12"/>
  <c r="G15" i="12"/>
  <c r="H15" i="12"/>
  <c r="I15" i="12"/>
  <c r="J15" i="12"/>
  <c r="K15" i="12"/>
  <c r="L15" i="12"/>
  <c r="M15" i="12"/>
  <c r="N15" i="12"/>
  <c r="C15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1" i="15"/>
  <c r="N12" i="15"/>
  <c r="M11" i="15"/>
  <c r="M12" i="15"/>
  <c r="L11" i="15"/>
  <c r="L12" i="15"/>
  <c r="K11" i="15"/>
  <c r="K12" i="15"/>
  <c r="G11" i="15"/>
  <c r="G12" i="15"/>
  <c r="J11" i="15"/>
  <c r="J12" i="15"/>
  <c r="I11" i="15"/>
  <c r="I12" i="15"/>
  <c r="H11" i="15"/>
  <c r="H12" i="15"/>
  <c r="N12" i="17"/>
  <c r="N13" i="17"/>
  <c r="M12" i="17"/>
  <c r="M13" i="17"/>
  <c r="L12" i="17"/>
  <c r="L13" i="17"/>
  <c r="K12" i="17"/>
  <c r="K13" i="17"/>
  <c r="J12" i="17"/>
  <c r="J13" i="17"/>
  <c r="I12" i="17"/>
  <c r="I13" i="17"/>
  <c r="H12" i="17"/>
  <c r="H13" i="17"/>
  <c r="G12" i="17"/>
  <c r="G13" i="17"/>
  <c r="F12" i="17"/>
  <c r="F13" i="17"/>
  <c r="E12" i="17"/>
  <c r="E13" i="17"/>
  <c r="D12" i="17"/>
  <c r="D13" i="17"/>
  <c r="C12" i="17"/>
  <c r="C13" i="17"/>
  <c r="N12" i="16"/>
  <c r="N13" i="16"/>
  <c r="M12" i="16"/>
  <c r="M13" i="16"/>
  <c r="L12" i="16"/>
  <c r="L13" i="16"/>
  <c r="K12" i="16"/>
  <c r="K13" i="16"/>
  <c r="J12" i="16"/>
  <c r="J13" i="16"/>
  <c r="I12" i="16"/>
  <c r="I13" i="16"/>
  <c r="H12" i="16"/>
  <c r="H13" i="16"/>
  <c r="G12" i="16"/>
  <c r="G13" i="16"/>
  <c r="F12" i="16"/>
  <c r="F13" i="16"/>
  <c r="E12" i="16"/>
  <c r="E13" i="16"/>
  <c r="D12" i="16"/>
  <c r="D13" i="16"/>
  <c r="C12" i="16"/>
  <c r="C13" i="16"/>
  <c r="F11" i="15"/>
  <c r="F12" i="15"/>
  <c r="E11" i="15"/>
  <c r="E12" i="15"/>
  <c r="D11" i="15"/>
  <c r="D12" i="15"/>
  <c r="C11" i="15"/>
  <c r="C12" i="15"/>
</calcChain>
</file>

<file path=xl/sharedStrings.xml><?xml version="1.0" encoding="utf-8"?>
<sst xmlns="http://schemas.openxmlformats.org/spreadsheetml/2006/main" count="234" uniqueCount="38">
  <si>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</si>
  <si>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</si>
  <si>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</si>
  <si>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</si>
  <si>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</si>
  <si>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</si>
  <si>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</si>
  <si>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</si>
  <si>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</si>
  <si>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</si>
  <si>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</si>
  <si>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</si>
  <si>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</si>
  <si>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</si>
  <si>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</si>
  <si>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</si>
  <si>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</si>
  <si>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</si>
  <si>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</si>
  <si>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</si>
  <si>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ВСЕГО</t>
  </si>
  <si>
    <t>Прочие потребители, КВтч</t>
  </si>
  <si>
    <t>Население, КВтч</t>
  </si>
  <si>
    <t>ОАО "МРСК Урала" "Челябэнерго"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</si>
  <si>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</si>
  <si>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</si>
  <si>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</si>
  <si>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2016 год</t>
  </si>
  <si>
    <t>ООО "АЭС Инвест"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</si>
  <si>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2017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</si>
  <si>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</si>
  <si>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</si>
  <si>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</si>
  <si>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</si>
  <si>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2020 год</t>
  </si>
  <si>
    <t>Филиал ОАО "МРСК Урала" - "Челябэнерго"</t>
  </si>
  <si>
    <t>Филиал ПАО "Россети Центр и Приволжье" - "Мариэнерго"</t>
  </si>
  <si>
    <t>Информация о фактическом полезном отпуске электрической энергии (мощности) потребителям ООО "РУСЭНЕРГОСБЫТ" в границах Республики Марий Эл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</si>
</sst>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2" fillId="0" borderId="0" xfId="0" applyNumberFormat="1" applyFont="1" applyFill="1"/>
    <xf numFmtId="165" fontId="4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/>
    <xf numFmtId="165" fontId="7" fillId="0" borderId="3" xfId="1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G19" sqref="G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6" t="s">
        <v>14</v>
      </c>
      <c r="C5" s="7">
        <v>114888360</v>
      </c>
      <c r="D5" s="7">
        <v>95459732</v>
      </c>
      <c r="E5" s="7">
        <v>107725399</v>
      </c>
      <c r="F5" s="7">
        <v>98668630</v>
      </c>
      <c r="G5" s="7">
        <v>93013426</v>
      </c>
      <c r="H5" s="7">
        <v>92226118</v>
      </c>
      <c r="I5" s="7">
        <v>96706607</v>
      </c>
      <c r="J5" s="7">
        <v>97383582</v>
      </c>
      <c r="K5" s="7">
        <v>100846110</v>
      </c>
      <c r="L5" s="7">
        <v>109727296</v>
      </c>
      <c r="M5" s="7">
        <v>108058005</v>
      </c>
      <c r="N5" s="7">
        <v>118797595</v>
      </c>
    </row>
    <row r="6" spans="1:14" ht="22.5" customHeight="1" x14ac:dyDescent="0.25">
      <c r="A6" s="32"/>
      <c r="B6" s="6" t="s">
        <v>15</v>
      </c>
      <c r="C6" s="7">
        <v>16880146</v>
      </c>
      <c r="D6" s="7">
        <v>13852891</v>
      </c>
      <c r="E6" s="7">
        <v>14824625</v>
      </c>
      <c r="F6" s="7">
        <v>13339169</v>
      </c>
      <c r="G6" s="7">
        <v>11592937</v>
      </c>
      <c r="H6" s="7">
        <v>11272461</v>
      </c>
      <c r="I6" s="7">
        <v>12978326</v>
      </c>
      <c r="J6" s="7">
        <v>13096271</v>
      </c>
      <c r="K6" s="7">
        <v>19717135</v>
      </c>
      <c r="L6" s="7">
        <v>24583163</v>
      </c>
      <c r="M6" s="7">
        <v>23516995</v>
      </c>
      <c r="N6" s="7">
        <v>28238967</v>
      </c>
    </row>
    <row r="7" spans="1:14" ht="22.5" customHeight="1" x14ac:dyDescent="0.25">
      <c r="A7" s="32"/>
      <c r="B7" s="6" t="s">
        <v>16</v>
      </c>
      <c r="C7" s="7">
        <v>4031033</v>
      </c>
      <c r="D7" s="7">
        <v>3799566</v>
      </c>
      <c r="E7" s="7">
        <v>3852398</v>
      </c>
      <c r="F7" s="7">
        <v>3659707</v>
      </c>
      <c r="G7" s="7">
        <v>2882257</v>
      </c>
      <c r="H7" s="7">
        <v>2803536</v>
      </c>
      <c r="I7" s="7">
        <v>3175606</v>
      </c>
      <c r="J7" s="7">
        <v>3123448</v>
      </c>
      <c r="K7" s="7">
        <v>3060420</v>
      </c>
      <c r="L7" s="7">
        <v>3716506</v>
      </c>
      <c r="M7" s="7">
        <v>3424585</v>
      </c>
      <c r="N7" s="7">
        <v>3807586</v>
      </c>
    </row>
    <row r="8" spans="1:14" ht="22.5" customHeight="1" x14ac:dyDescent="0.25">
      <c r="A8" s="32"/>
      <c r="B8" s="6" t="s">
        <v>17</v>
      </c>
      <c r="C8" s="7">
        <v>1441371</v>
      </c>
      <c r="D8" s="7">
        <v>1299437</v>
      </c>
      <c r="E8" s="7">
        <v>1446938</v>
      </c>
      <c r="F8" s="7">
        <v>1200440</v>
      </c>
      <c r="G8" s="7">
        <v>827300</v>
      </c>
      <c r="H8" s="7">
        <v>753641</v>
      </c>
      <c r="I8" s="7">
        <v>716094</v>
      </c>
      <c r="J8" s="7">
        <v>734156</v>
      </c>
      <c r="K8" s="7">
        <v>830039</v>
      </c>
      <c r="L8" s="7">
        <v>1121088</v>
      </c>
      <c r="M8" s="7">
        <v>1097831</v>
      </c>
      <c r="N8" s="7">
        <v>1278067</v>
      </c>
    </row>
    <row r="9" spans="1:14" ht="22.5" customHeight="1" x14ac:dyDescent="0.25">
      <c r="A9" s="32"/>
      <c r="B9" s="33" t="s">
        <v>22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ht="22.5" customHeight="1" x14ac:dyDescent="0.25">
      <c r="A10" s="32"/>
      <c r="B10" s="8"/>
      <c r="C10" s="7">
        <v>3646941</v>
      </c>
      <c r="D10" s="7">
        <v>3479392</v>
      </c>
      <c r="E10" s="7">
        <v>3335493</v>
      </c>
      <c r="F10" s="7">
        <v>2990357</v>
      </c>
      <c r="G10" s="7">
        <v>3454708</v>
      </c>
      <c r="H10" s="7">
        <v>3098952</v>
      </c>
      <c r="I10" s="7">
        <v>2943003</v>
      </c>
      <c r="J10" s="7">
        <v>2984957</v>
      </c>
      <c r="K10" s="7">
        <v>3531205</v>
      </c>
      <c r="L10" s="7">
        <v>3476911</v>
      </c>
      <c r="M10" s="7">
        <v>3643280</v>
      </c>
      <c r="N10" s="7">
        <v>5417041</v>
      </c>
    </row>
    <row r="11" spans="1:14" ht="22.5" customHeight="1" x14ac:dyDescent="0.25">
      <c r="A11" s="28" t="s">
        <v>18</v>
      </c>
      <c r="B11" s="29"/>
      <c r="C11" s="9">
        <f t="shared" ref="C11:F11" si="0">SUM(C5:C8,C10)</f>
        <v>140887851</v>
      </c>
      <c r="D11" s="9">
        <f t="shared" si="0"/>
        <v>117891018</v>
      </c>
      <c r="E11" s="9">
        <f t="shared" si="0"/>
        <v>131184853</v>
      </c>
      <c r="F11" s="9">
        <f t="shared" si="0"/>
        <v>119858303</v>
      </c>
      <c r="G11" s="9">
        <f t="shared" ref="G11:N11" si="1">SUM(G5:G8,G10)</f>
        <v>111770628</v>
      </c>
      <c r="H11" s="9">
        <f t="shared" si="1"/>
        <v>110154708</v>
      </c>
      <c r="I11" s="9">
        <f t="shared" si="1"/>
        <v>116519636</v>
      </c>
      <c r="J11" s="9">
        <f t="shared" si="1"/>
        <v>117322414</v>
      </c>
      <c r="K11" s="9">
        <f t="shared" si="1"/>
        <v>127984909</v>
      </c>
      <c r="L11" s="9">
        <f t="shared" si="1"/>
        <v>142624964</v>
      </c>
      <c r="M11" s="9">
        <f t="shared" si="1"/>
        <v>139740696</v>
      </c>
      <c r="N11" s="9">
        <f t="shared" si="1"/>
        <v>157539256</v>
      </c>
    </row>
    <row r="12" spans="1:14" s="10" customFormat="1" ht="22.5" customHeight="1" x14ac:dyDescent="0.2">
      <c r="A12" s="28" t="s">
        <v>20</v>
      </c>
      <c r="B12" s="29"/>
      <c r="C12" s="9">
        <f>C11</f>
        <v>140887851</v>
      </c>
      <c r="D12" s="9">
        <f t="shared" ref="D12:F12" si="2">D11</f>
        <v>117891018</v>
      </c>
      <c r="E12" s="9">
        <f t="shared" si="2"/>
        <v>131184853</v>
      </c>
      <c r="F12" s="9">
        <f t="shared" si="2"/>
        <v>119858303</v>
      </c>
      <c r="G12" s="9">
        <f t="shared" ref="G12:N12" si="3">G11</f>
        <v>111770628</v>
      </c>
      <c r="H12" s="9">
        <f t="shared" si="3"/>
        <v>110154708</v>
      </c>
      <c r="I12" s="9">
        <f t="shared" si="3"/>
        <v>116519636</v>
      </c>
      <c r="J12" s="9">
        <f t="shared" si="3"/>
        <v>117322414</v>
      </c>
      <c r="K12" s="9">
        <f t="shared" si="3"/>
        <v>127984909</v>
      </c>
      <c r="L12" s="9">
        <f t="shared" si="3"/>
        <v>142624964</v>
      </c>
      <c r="M12" s="9">
        <f t="shared" si="3"/>
        <v>139740696</v>
      </c>
      <c r="N12" s="9">
        <f t="shared" si="3"/>
        <v>157539256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25" sqref="B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6" t="s">
        <v>19</v>
      </c>
      <c r="C5" s="7">
        <v>5651911</v>
      </c>
      <c r="D5" s="7">
        <v>5212065</v>
      </c>
      <c r="E5" s="7">
        <v>5583442</v>
      </c>
      <c r="F5" s="7">
        <v>4371354</v>
      </c>
      <c r="G5" s="7">
        <v>3838075</v>
      </c>
      <c r="H5" s="7">
        <v>2522080</v>
      </c>
      <c r="I5" s="7">
        <v>3154160</v>
      </c>
      <c r="J5" s="7">
        <v>3915155</v>
      </c>
      <c r="K5" s="7">
        <v>3293475</v>
      </c>
      <c r="L5" s="7">
        <v>4590521</v>
      </c>
      <c r="M5" s="7">
        <v>5754056</v>
      </c>
      <c r="N5" s="7">
        <v>5399733</v>
      </c>
    </row>
    <row r="6" spans="1:14" ht="22.5" customHeight="1" x14ac:dyDescent="0.25">
      <c r="A6" s="32"/>
      <c r="B6" s="6" t="s">
        <v>14</v>
      </c>
      <c r="C6" s="7">
        <v>107259927</v>
      </c>
      <c r="D6" s="7">
        <v>96104356</v>
      </c>
      <c r="E6" s="7">
        <v>105182691</v>
      </c>
      <c r="F6" s="7">
        <v>96270260</v>
      </c>
      <c r="G6" s="7">
        <v>94421503</v>
      </c>
      <c r="H6" s="7">
        <v>91431281</v>
      </c>
      <c r="I6" s="7">
        <v>96983298</v>
      </c>
      <c r="J6" s="7">
        <v>93075157</v>
      </c>
      <c r="K6" s="7">
        <v>95162090</v>
      </c>
      <c r="L6" s="7">
        <v>103315740</v>
      </c>
      <c r="M6" s="7">
        <v>109436664</v>
      </c>
      <c r="N6" s="7">
        <v>111467397</v>
      </c>
    </row>
    <row r="7" spans="1:14" ht="22.5" customHeight="1" x14ac:dyDescent="0.25">
      <c r="A7" s="32"/>
      <c r="B7" s="6" t="s">
        <v>15</v>
      </c>
      <c r="C7" s="7">
        <v>28073356</v>
      </c>
      <c r="D7" s="7">
        <v>25643899</v>
      </c>
      <c r="E7" s="7">
        <v>25896321</v>
      </c>
      <c r="F7" s="7">
        <v>21366239</v>
      </c>
      <c r="G7" s="7">
        <v>17240723</v>
      </c>
      <c r="H7" s="7">
        <v>16621392</v>
      </c>
      <c r="I7" s="7">
        <v>18479322</v>
      </c>
      <c r="J7" s="7">
        <v>17597410</v>
      </c>
      <c r="K7" s="7">
        <v>19169209</v>
      </c>
      <c r="L7" s="7">
        <v>23361670</v>
      </c>
      <c r="M7" s="7">
        <v>24075085</v>
      </c>
      <c r="N7" s="7">
        <v>25991458</v>
      </c>
    </row>
    <row r="8" spans="1:14" ht="22.5" customHeight="1" x14ac:dyDescent="0.25">
      <c r="A8" s="32"/>
      <c r="B8" s="6" t="s">
        <v>16</v>
      </c>
      <c r="C8" s="7">
        <v>4041592</v>
      </c>
      <c r="D8" s="7">
        <v>4141779</v>
      </c>
      <c r="E8" s="7">
        <v>3800144</v>
      </c>
      <c r="F8" s="7">
        <v>3827015</v>
      </c>
      <c r="G8" s="7">
        <v>2951839</v>
      </c>
      <c r="H8" s="7">
        <v>2755531</v>
      </c>
      <c r="I8" s="7">
        <v>2762530</v>
      </c>
      <c r="J8" s="7">
        <v>3400240</v>
      </c>
      <c r="K8" s="7">
        <v>3842412</v>
      </c>
      <c r="L8" s="7">
        <v>4130782</v>
      </c>
      <c r="M8" s="7">
        <v>4038962</v>
      </c>
      <c r="N8" s="7">
        <v>5688722</v>
      </c>
    </row>
    <row r="9" spans="1:14" ht="22.5" customHeight="1" x14ac:dyDescent="0.25">
      <c r="A9" s="32"/>
      <c r="B9" s="6" t="s">
        <v>17</v>
      </c>
      <c r="C9" s="7">
        <v>1317145</v>
      </c>
      <c r="D9" s="7">
        <v>1307216</v>
      </c>
      <c r="E9" s="7">
        <v>1057713</v>
      </c>
      <c r="F9" s="7">
        <v>990140</v>
      </c>
      <c r="G9" s="7">
        <v>765607</v>
      </c>
      <c r="H9" s="7">
        <v>716999</v>
      </c>
      <c r="I9" s="7">
        <v>598284</v>
      </c>
      <c r="J9" s="7">
        <v>656802</v>
      </c>
      <c r="K9" s="7">
        <v>677402</v>
      </c>
      <c r="L9" s="7">
        <v>989346</v>
      </c>
      <c r="M9" s="7">
        <v>998499</v>
      </c>
      <c r="N9" s="7">
        <v>1326040</v>
      </c>
    </row>
    <row r="10" spans="1:14" ht="22.5" customHeight="1" x14ac:dyDescent="0.25">
      <c r="A10" s="32"/>
      <c r="B10" s="33" t="s">
        <v>22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2.5" customHeight="1" x14ac:dyDescent="0.25">
      <c r="A11" s="32"/>
      <c r="B11" s="8"/>
      <c r="C11" s="7">
        <v>3261465</v>
      </c>
      <c r="D11" s="7">
        <v>3596365</v>
      </c>
      <c r="E11" s="7">
        <v>3366063</v>
      </c>
      <c r="F11" s="7">
        <v>4326317</v>
      </c>
      <c r="G11" s="7">
        <v>4137706</v>
      </c>
      <c r="H11" s="7">
        <v>3556378</v>
      </c>
      <c r="I11" s="7">
        <v>1228615</v>
      </c>
      <c r="J11" s="7">
        <v>1180145</v>
      </c>
      <c r="K11" s="7">
        <v>1139966</v>
      </c>
      <c r="L11" s="7">
        <v>767190</v>
      </c>
      <c r="M11" s="7">
        <v>519963</v>
      </c>
      <c r="N11" s="7">
        <v>631939</v>
      </c>
    </row>
    <row r="12" spans="1:14" ht="22.5" customHeight="1" x14ac:dyDescent="0.25">
      <c r="A12" s="28" t="s">
        <v>18</v>
      </c>
      <c r="B12" s="29"/>
      <c r="C12" s="9">
        <f t="shared" ref="C12:N12" si="0">SUM(C5:C9,C11)</f>
        <v>149605396</v>
      </c>
      <c r="D12" s="9">
        <f t="shared" si="0"/>
        <v>136005680</v>
      </c>
      <c r="E12" s="9">
        <f t="shared" si="0"/>
        <v>144886374</v>
      </c>
      <c r="F12" s="9">
        <f t="shared" si="0"/>
        <v>131151325</v>
      </c>
      <c r="G12" s="9">
        <f t="shared" si="0"/>
        <v>123355453</v>
      </c>
      <c r="H12" s="9">
        <f t="shared" si="0"/>
        <v>117603661</v>
      </c>
      <c r="I12" s="9">
        <f t="shared" si="0"/>
        <v>123206209</v>
      </c>
      <c r="J12" s="9">
        <f t="shared" si="0"/>
        <v>119824909</v>
      </c>
      <c r="K12" s="9">
        <f t="shared" si="0"/>
        <v>123284554</v>
      </c>
      <c r="L12" s="9">
        <f t="shared" si="0"/>
        <v>137155249</v>
      </c>
      <c r="M12" s="9">
        <f t="shared" si="0"/>
        <v>144823229</v>
      </c>
      <c r="N12" s="9">
        <f t="shared" si="0"/>
        <v>150505289</v>
      </c>
    </row>
    <row r="13" spans="1:14" s="10" customFormat="1" ht="22.5" customHeight="1" x14ac:dyDescent="0.2">
      <c r="A13" s="28" t="s">
        <v>20</v>
      </c>
      <c r="B13" s="29"/>
      <c r="C13" s="9">
        <f>C12</f>
        <v>149605396</v>
      </c>
      <c r="D13" s="9">
        <f t="shared" ref="D13:N13" si="1">D12</f>
        <v>136005680</v>
      </c>
      <c r="E13" s="9">
        <f t="shared" si="1"/>
        <v>144886374</v>
      </c>
      <c r="F13" s="9">
        <f t="shared" si="1"/>
        <v>131151325</v>
      </c>
      <c r="G13" s="9">
        <f t="shared" si="1"/>
        <v>123355453</v>
      </c>
      <c r="H13" s="9">
        <f t="shared" si="1"/>
        <v>117603661</v>
      </c>
      <c r="I13" s="9">
        <f t="shared" si="1"/>
        <v>123206209</v>
      </c>
      <c r="J13" s="9">
        <f t="shared" si="1"/>
        <v>119824909</v>
      </c>
      <c r="K13" s="9">
        <f t="shared" si="1"/>
        <v>123284554</v>
      </c>
      <c r="L13" s="9">
        <f t="shared" si="1"/>
        <v>137155249</v>
      </c>
      <c r="M13" s="9">
        <f t="shared" si="1"/>
        <v>144823229</v>
      </c>
      <c r="N13" s="9">
        <f t="shared" si="1"/>
        <v>150505289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F1" workbookViewId="0">
      <selection activeCell="F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6" t="s">
        <v>19</v>
      </c>
      <c r="C5" s="7">
        <v>4682239</v>
      </c>
      <c r="D5" s="7">
        <v>4522451</v>
      </c>
      <c r="E5" s="7">
        <v>4322903</v>
      </c>
      <c r="F5" s="7">
        <v>3305221</v>
      </c>
      <c r="G5" s="7">
        <v>3030401</v>
      </c>
      <c r="H5" s="7">
        <v>2727093</v>
      </c>
      <c r="I5" s="7">
        <v>3422785</v>
      </c>
      <c r="J5" s="7">
        <v>3254778</v>
      </c>
      <c r="K5" s="7">
        <v>3438470</v>
      </c>
      <c r="L5" s="7">
        <v>3322840</v>
      </c>
      <c r="M5" s="7">
        <v>3845469</v>
      </c>
      <c r="N5" s="7">
        <v>4186252</v>
      </c>
    </row>
    <row r="6" spans="1:14" ht="22.5" customHeight="1" x14ac:dyDescent="0.25">
      <c r="A6" s="32"/>
      <c r="B6" s="6" t="s">
        <v>14</v>
      </c>
      <c r="C6" s="7">
        <v>99715734</v>
      </c>
      <c r="D6" s="7">
        <v>92270771</v>
      </c>
      <c r="E6" s="7">
        <v>103309926</v>
      </c>
      <c r="F6" s="7">
        <v>93441391</v>
      </c>
      <c r="G6" s="7">
        <v>89579223</v>
      </c>
      <c r="H6" s="7">
        <v>87703346</v>
      </c>
      <c r="I6" s="7">
        <v>92591731</v>
      </c>
      <c r="J6" s="7">
        <v>93118373</v>
      </c>
      <c r="K6" s="7">
        <v>90650267</v>
      </c>
      <c r="L6" s="7">
        <v>103547150</v>
      </c>
      <c r="M6" s="7">
        <v>108419921</v>
      </c>
      <c r="N6" s="7">
        <v>108729284</v>
      </c>
    </row>
    <row r="7" spans="1:14" ht="22.5" customHeight="1" x14ac:dyDescent="0.25">
      <c r="A7" s="32"/>
      <c r="B7" s="6" t="s">
        <v>15</v>
      </c>
      <c r="C7" s="7">
        <v>23395161</v>
      </c>
      <c r="D7" s="7">
        <v>22147315</v>
      </c>
      <c r="E7" s="7">
        <v>22260402</v>
      </c>
      <c r="F7" s="7">
        <v>18011671</v>
      </c>
      <c r="G7" s="7">
        <v>17023413</v>
      </c>
      <c r="H7" s="7">
        <v>15570639</v>
      </c>
      <c r="I7" s="7">
        <v>16662027</v>
      </c>
      <c r="J7" s="7">
        <v>17164935</v>
      </c>
      <c r="K7" s="7">
        <v>16910852</v>
      </c>
      <c r="L7" s="7">
        <v>20797174</v>
      </c>
      <c r="M7" s="7">
        <v>22126935</v>
      </c>
      <c r="N7" s="7">
        <v>23078758</v>
      </c>
    </row>
    <row r="8" spans="1:14" ht="22.5" customHeight="1" x14ac:dyDescent="0.25">
      <c r="A8" s="32"/>
      <c r="B8" s="6" t="s">
        <v>16</v>
      </c>
      <c r="C8" s="7">
        <v>6714939</v>
      </c>
      <c r="D8" s="7">
        <v>2822642</v>
      </c>
      <c r="E8" s="7">
        <v>2765298</v>
      </c>
      <c r="F8" s="7">
        <v>3816225</v>
      </c>
      <c r="G8" s="7">
        <v>3838058</v>
      </c>
      <c r="H8" s="7">
        <v>3819251</v>
      </c>
      <c r="I8" s="7">
        <v>4037565</v>
      </c>
      <c r="J8" s="7">
        <v>4317733</v>
      </c>
      <c r="K8" s="7">
        <v>3711308</v>
      </c>
      <c r="L8" s="7">
        <v>2974880</v>
      </c>
      <c r="M8" s="7">
        <v>2860093</v>
      </c>
      <c r="N8" s="7">
        <v>3389253</v>
      </c>
    </row>
    <row r="9" spans="1:14" ht="22.5" customHeight="1" x14ac:dyDescent="0.25">
      <c r="A9" s="32"/>
      <c r="B9" s="6" t="s">
        <v>17</v>
      </c>
      <c r="C9" s="7">
        <v>1341267</v>
      </c>
      <c r="D9" s="7">
        <v>1719263</v>
      </c>
      <c r="E9" s="7">
        <v>1483170</v>
      </c>
      <c r="F9" s="7">
        <v>891919</v>
      </c>
      <c r="G9" s="7">
        <v>687084</v>
      </c>
      <c r="H9" s="7">
        <v>654242</v>
      </c>
      <c r="I9" s="7">
        <v>641273</v>
      </c>
      <c r="J9" s="7">
        <v>621907</v>
      </c>
      <c r="K9" s="7">
        <v>703187</v>
      </c>
      <c r="L9" s="7">
        <v>862601</v>
      </c>
      <c r="M9" s="7">
        <v>969529</v>
      </c>
      <c r="N9" s="7">
        <v>930936</v>
      </c>
    </row>
    <row r="10" spans="1:14" ht="22.5" customHeight="1" x14ac:dyDescent="0.25">
      <c r="A10" s="32"/>
      <c r="B10" s="33" t="s">
        <v>22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2.5" customHeight="1" x14ac:dyDescent="0.25">
      <c r="A11" s="32"/>
      <c r="B11" s="8"/>
      <c r="C11" s="7">
        <v>586606</v>
      </c>
      <c r="D11" s="7">
        <v>553825</v>
      </c>
      <c r="E11" s="7">
        <v>621756</v>
      </c>
      <c r="F11" s="7">
        <v>121663</v>
      </c>
      <c r="G11" s="7">
        <v>188815</v>
      </c>
      <c r="H11" s="7">
        <v>204918</v>
      </c>
      <c r="I11" s="7">
        <v>208314</v>
      </c>
      <c r="J11" s="7">
        <v>183646</v>
      </c>
      <c r="K11" s="7">
        <v>222843</v>
      </c>
      <c r="L11" s="7">
        <v>160762</v>
      </c>
      <c r="M11" s="7">
        <v>160836</v>
      </c>
      <c r="N11" s="7">
        <v>135502</v>
      </c>
    </row>
    <row r="12" spans="1:14" ht="22.5" customHeight="1" x14ac:dyDescent="0.25">
      <c r="A12" s="28" t="s">
        <v>18</v>
      </c>
      <c r="B12" s="29"/>
      <c r="C12" s="9">
        <f t="shared" ref="C12:N12" si="0">SUM(C5:C9,C11)</f>
        <v>136435946</v>
      </c>
      <c r="D12" s="9">
        <f t="shared" si="0"/>
        <v>124036267</v>
      </c>
      <c r="E12" s="9">
        <f t="shared" si="0"/>
        <v>134763455</v>
      </c>
      <c r="F12" s="9">
        <f t="shared" si="0"/>
        <v>119588090</v>
      </c>
      <c r="G12" s="9">
        <f t="shared" si="0"/>
        <v>114346994</v>
      </c>
      <c r="H12" s="9">
        <f t="shared" si="0"/>
        <v>110679489</v>
      </c>
      <c r="I12" s="9">
        <f t="shared" si="0"/>
        <v>117563695</v>
      </c>
      <c r="J12" s="9">
        <f t="shared" si="0"/>
        <v>118661372</v>
      </c>
      <c r="K12" s="9">
        <f t="shared" si="0"/>
        <v>115636927</v>
      </c>
      <c r="L12" s="9">
        <f t="shared" si="0"/>
        <v>131665407</v>
      </c>
      <c r="M12" s="9">
        <f t="shared" si="0"/>
        <v>138382783</v>
      </c>
      <c r="N12" s="9">
        <f t="shared" si="0"/>
        <v>140449985</v>
      </c>
    </row>
    <row r="13" spans="1:14" s="10" customFormat="1" ht="22.5" customHeight="1" x14ac:dyDescent="0.2">
      <c r="A13" s="28" t="s">
        <v>20</v>
      </c>
      <c r="B13" s="29"/>
      <c r="C13" s="9">
        <f>C12</f>
        <v>136435946</v>
      </c>
      <c r="D13" s="9">
        <f t="shared" ref="D13:N13" si="1">D12</f>
        <v>124036267</v>
      </c>
      <c r="E13" s="9">
        <f t="shared" si="1"/>
        <v>134763455</v>
      </c>
      <c r="F13" s="9">
        <f t="shared" si="1"/>
        <v>119588090</v>
      </c>
      <c r="G13" s="9">
        <f t="shared" si="1"/>
        <v>114346994</v>
      </c>
      <c r="H13" s="9">
        <f t="shared" si="1"/>
        <v>110679489</v>
      </c>
      <c r="I13" s="9">
        <f t="shared" si="1"/>
        <v>117563695</v>
      </c>
      <c r="J13" s="9">
        <f t="shared" si="1"/>
        <v>118661372</v>
      </c>
      <c r="K13" s="9">
        <f t="shared" si="1"/>
        <v>115636927</v>
      </c>
      <c r="L13" s="9">
        <f t="shared" si="1"/>
        <v>131665407</v>
      </c>
      <c r="M13" s="9">
        <f t="shared" si="1"/>
        <v>138382783</v>
      </c>
      <c r="N13" s="9">
        <f t="shared" si="1"/>
        <v>140449985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opLeftCell="D1" workbookViewId="0">
      <selection activeCell="N13" sqref="N13:N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6" t="s">
        <v>19</v>
      </c>
      <c r="C5" s="7">
        <v>4477949</v>
      </c>
      <c r="D5" s="7">
        <v>4655653</v>
      </c>
      <c r="E5" s="7">
        <v>2800251</v>
      </c>
      <c r="F5" s="7">
        <v>3539063</v>
      </c>
      <c r="G5" s="7">
        <v>2801101</v>
      </c>
      <c r="H5" s="7">
        <v>3697156</v>
      </c>
      <c r="I5" s="7">
        <v>2313421</v>
      </c>
      <c r="J5" s="7">
        <v>2691798</v>
      </c>
      <c r="K5" s="7">
        <v>2570355</v>
      </c>
      <c r="L5" s="7">
        <v>2846903</v>
      </c>
      <c r="M5" s="7">
        <v>4479133</v>
      </c>
      <c r="N5" s="7">
        <v>4220975</v>
      </c>
    </row>
    <row r="6" spans="1:14" ht="22.5" customHeight="1" x14ac:dyDescent="0.25">
      <c r="A6" s="32"/>
      <c r="B6" s="6" t="s">
        <v>14</v>
      </c>
      <c r="C6" s="7">
        <v>103879710</v>
      </c>
      <c r="D6" s="7">
        <v>96760865</v>
      </c>
      <c r="E6" s="7">
        <v>100607496</v>
      </c>
      <c r="F6" s="7">
        <v>89875650</v>
      </c>
      <c r="G6" s="7">
        <v>90343987</v>
      </c>
      <c r="H6" s="7">
        <v>89019124</v>
      </c>
      <c r="I6" s="7">
        <v>89877014</v>
      </c>
      <c r="J6" s="7">
        <v>85947450</v>
      </c>
      <c r="K6" s="7">
        <v>87541696</v>
      </c>
      <c r="L6" s="7">
        <v>102145351</v>
      </c>
      <c r="M6" s="7">
        <v>108292268</v>
      </c>
      <c r="N6" s="7">
        <v>116014259</v>
      </c>
    </row>
    <row r="7" spans="1:14" ht="22.5" customHeight="1" x14ac:dyDescent="0.25">
      <c r="A7" s="32"/>
      <c r="B7" s="6" t="s">
        <v>15</v>
      </c>
      <c r="C7" s="7">
        <v>23609177</v>
      </c>
      <c r="D7" s="7">
        <v>21544673</v>
      </c>
      <c r="E7" s="7">
        <v>20905907</v>
      </c>
      <c r="F7" s="7">
        <v>18581044</v>
      </c>
      <c r="G7" s="7">
        <v>16580870</v>
      </c>
      <c r="H7" s="7">
        <v>15739805</v>
      </c>
      <c r="I7" s="7">
        <v>17349056</v>
      </c>
      <c r="J7" s="7">
        <v>17513397</v>
      </c>
      <c r="K7" s="7">
        <v>17323417</v>
      </c>
      <c r="L7" s="7">
        <v>20379650</v>
      </c>
      <c r="M7" s="7">
        <v>22791568</v>
      </c>
      <c r="N7" s="7">
        <v>24917196</v>
      </c>
    </row>
    <row r="8" spans="1:14" ht="22.5" customHeight="1" x14ac:dyDescent="0.25">
      <c r="A8" s="32"/>
      <c r="B8" s="6" t="s">
        <v>16</v>
      </c>
      <c r="C8" s="7">
        <v>3200837</v>
      </c>
      <c r="D8" s="7">
        <v>3351968</v>
      </c>
      <c r="E8" s="7">
        <v>2991124</v>
      </c>
      <c r="F8" s="7">
        <v>2783396</v>
      </c>
      <c r="G8" s="7">
        <v>2486639</v>
      </c>
      <c r="H8" s="7">
        <v>2348156</v>
      </c>
      <c r="I8" s="7">
        <v>2340731</v>
      </c>
      <c r="J8" s="7">
        <v>2345189</v>
      </c>
      <c r="K8" s="7">
        <v>2236581</v>
      </c>
      <c r="L8" s="7">
        <v>2719143</v>
      </c>
      <c r="M8" s="7">
        <v>3087172</v>
      </c>
      <c r="N8" s="7">
        <v>2962636</v>
      </c>
    </row>
    <row r="9" spans="1:14" ht="22.5" customHeight="1" x14ac:dyDescent="0.25">
      <c r="A9" s="32"/>
      <c r="B9" s="6" t="s">
        <v>17</v>
      </c>
      <c r="C9" s="7">
        <v>1007229</v>
      </c>
      <c r="D9" s="7">
        <v>894494</v>
      </c>
      <c r="E9" s="7">
        <v>852395</v>
      </c>
      <c r="F9" s="7">
        <v>790871</v>
      </c>
      <c r="G9" s="7">
        <v>631200</v>
      </c>
      <c r="H9" s="7">
        <v>620314</v>
      </c>
      <c r="I9" s="7">
        <v>611204</v>
      </c>
      <c r="J9" s="7">
        <v>872206</v>
      </c>
      <c r="K9" s="7">
        <v>618893</v>
      </c>
      <c r="L9" s="7">
        <v>711870</v>
      </c>
      <c r="M9" s="7">
        <v>859449</v>
      </c>
      <c r="N9" s="7">
        <v>886400</v>
      </c>
    </row>
    <row r="10" spans="1:14" ht="22.5" customHeight="1" x14ac:dyDescent="0.25">
      <c r="A10" s="32"/>
      <c r="B10" s="33" t="s">
        <v>22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2.5" customHeight="1" x14ac:dyDescent="0.25">
      <c r="A11" s="36"/>
      <c r="B11" s="8"/>
      <c r="C11" s="7">
        <v>159809</v>
      </c>
      <c r="D11" s="7">
        <v>167230</v>
      </c>
      <c r="E11" s="7">
        <v>175067</v>
      </c>
      <c r="F11" s="7">
        <v>143924</v>
      </c>
      <c r="G11" s="7">
        <v>217947</v>
      </c>
      <c r="H11" s="7">
        <v>252022</v>
      </c>
      <c r="I11" s="7">
        <v>211734</v>
      </c>
      <c r="J11" s="7">
        <v>214833</v>
      </c>
      <c r="K11" s="7">
        <v>223203</v>
      </c>
      <c r="L11" s="7">
        <v>204807</v>
      </c>
      <c r="M11" s="7">
        <v>140257</v>
      </c>
      <c r="N11" s="7">
        <v>146541</v>
      </c>
    </row>
    <row r="12" spans="1:14" ht="22.5" customHeight="1" x14ac:dyDescent="0.25">
      <c r="A12" s="37" t="s">
        <v>28</v>
      </c>
      <c r="B12" s="34" t="s">
        <v>21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22.5" customHeight="1" x14ac:dyDescent="0.25">
      <c r="A13" s="37"/>
      <c r="B13" s="6" t="s">
        <v>16</v>
      </c>
      <c r="C13" s="7">
        <v>28068</v>
      </c>
      <c r="D13" s="7">
        <v>24175</v>
      </c>
      <c r="E13" s="7">
        <v>18248</v>
      </c>
      <c r="F13" s="7">
        <v>20654</v>
      </c>
      <c r="G13" s="7">
        <v>16463</v>
      </c>
      <c r="H13" s="7">
        <v>16013</v>
      </c>
      <c r="I13" s="7">
        <v>12489</v>
      </c>
      <c r="J13" s="7">
        <v>15554</v>
      </c>
      <c r="K13" s="7">
        <v>14705</v>
      </c>
      <c r="L13" s="7">
        <v>18040</v>
      </c>
      <c r="M13" s="7">
        <v>20228</v>
      </c>
      <c r="N13" s="7">
        <v>20885</v>
      </c>
    </row>
    <row r="14" spans="1:14" ht="22.5" customHeight="1" x14ac:dyDescent="0.25">
      <c r="A14" s="37"/>
      <c r="B14" s="6" t="s">
        <v>17</v>
      </c>
      <c r="C14" s="7">
        <v>5130</v>
      </c>
      <c r="D14" s="7">
        <v>5227</v>
      </c>
      <c r="E14" s="7">
        <v>4779</v>
      </c>
      <c r="F14" s="7">
        <v>992</v>
      </c>
      <c r="G14" s="7">
        <v>5690</v>
      </c>
      <c r="H14" s="7">
        <v>3348</v>
      </c>
      <c r="I14" s="7">
        <v>6465</v>
      </c>
      <c r="J14" s="7">
        <v>10625</v>
      </c>
      <c r="K14" s="7">
        <v>7190</v>
      </c>
      <c r="L14" s="7">
        <v>5250</v>
      </c>
      <c r="M14" s="7">
        <v>9526</v>
      </c>
      <c r="N14" s="7">
        <v>6624</v>
      </c>
    </row>
    <row r="15" spans="1:14" ht="22.5" customHeight="1" x14ac:dyDescent="0.25">
      <c r="A15" s="28" t="s">
        <v>18</v>
      </c>
      <c r="B15" s="29"/>
      <c r="C15" s="9">
        <f>SUM(C5:C9,C11,C13:C14)</f>
        <v>136367909</v>
      </c>
      <c r="D15" s="9">
        <f t="shared" ref="D15:N15" si="0">SUM(D5:D9,D11,D13:D14)</f>
        <v>127404285</v>
      </c>
      <c r="E15" s="9">
        <f t="shared" si="0"/>
        <v>128355267</v>
      </c>
      <c r="F15" s="9">
        <f t="shared" si="0"/>
        <v>115735594</v>
      </c>
      <c r="G15" s="9">
        <f t="shared" si="0"/>
        <v>113083897</v>
      </c>
      <c r="H15" s="9">
        <f t="shared" si="0"/>
        <v>111695938</v>
      </c>
      <c r="I15" s="9">
        <f t="shared" si="0"/>
        <v>112722114</v>
      </c>
      <c r="J15" s="9">
        <f t="shared" si="0"/>
        <v>109611052</v>
      </c>
      <c r="K15" s="9">
        <f t="shared" si="0"/>
        <v>110536040</v>
      </c>
      <c r="L15" s="9">
        <f t="shared" si="0"/>
        <v>129031014</v>
      </c>
      <c r="M15" s="9">
        <f t="shared" si="0"/>
        <v>139679601</v>
      </c>
      <c r="N15" s="9">
        <f t="shared" si="0"/>
        <v>149175516</v>
      </c>
    </row>
    <row r="16" spans="1:14" s="10" customFormat="1" ht="22.5" customHeight="1" x14ac:dyDescent="0.2">
      <c r="A16" s="28" t="s">
        <v>20</v>
      </c>
      <c r="B16" s="29"/>
      <c r="C16" s="9">
        <f>C15</f>
        <v>136367909</v>
      </c>
      <c r="D16" s="9">
        <f t="shared" ref="D16:N16" si="1">D15</f>
        <v>127404285</v>
      </c>
      <c r="E16" s="9">
        <f t="shared" si="1"/>
        <v>128355267</v>
      </c>
      <c r="F16" s="9">
        <f t="shared" si="1"/>
        <v>115735594</v>
      </c>
      <c r="G16" s="9">
        <f t="shared" si="1"/>
        <v>113083897</v>
      </c>
      <c r="H16" s="9">
        <f t="shared" si="1"/>
        <v>111695938</v>
      </c>
      <c r="I16" s="9">
        <f t="shared" si="1"/>
        <v>112722114</v>
      </c>
      <c r="J16" s="9">
        <f t="shared" si="1"/>
        <v>109611052</v>
      </c>
      <c r="K16" s="9">
        <f t="shared" si="1"/>
        <v>110536040</v>
      </c>
      <c r="L16" s="9">
        <f t="shared" si="1"/>
        <v>129031014</v>
      </c>
      <c r="M16" s="9">
        <f t="shared" si="1"/>
        <v>139679601</v>
      </c>
      <c r="N16" s="9">
        <f t="shared" si="1"/>
        <v>149175516</v>
      </c>
    </row>
  </sheetData>
  <mergeCells count="8">
    <mergeCell ref="A16:B16"/>
    <mergeCell ref="A2:N2"/>
    <mergeCell ref="A4:A11"/>
    <mergeCell ref="B4:N4"/>
    <mergeCell ref="B10:N10"/>
    <mergeCell ref="A15:B15"/>
    <mergeCell ref="B12:N12"/>
    <mergeCell ref="A12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opLeftCell="D2" workbookViewId="0">
      <selection activeCell="N9" sqref="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30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11" t="s">
        <v>19</v>
      </c>
      <c r="C5" s="7">
        <v>4605897</v>
      </c>
      <c r="D5" s="7">
        <v>4178675</v>
      </c>
      <c r="E5" s="7">
        <v>3786323</v>
      </c>
      <c r="F5" s="7">
        <v>3668809</v>
      </c>
      <c r="G5" s="7">
        <v>2116338</v>
      </c>
      <c r="H5" s="7">
        <v>3240914</v>
      </c>
      <c r="I5" s="7"/>
      <c r="J5" s="7"/>
      <c r="K5" s="7"/>
      <c r="L5" s="7"/>
      <c r="M5" s="7"/>
      <c r="N5" s="7"/>
    </row>
    <row r="6" spans="1:14" ht="22.5" customHeight="1" x14ac:dyDescent="0.25">
      <c r="A6" s="32"/>
      <c r="B6" s="11" t="s">
        <v>14</v>
      </c>
      <c r="C6" s="7">
        <f>113369309+357441+186613</f>
        <v>113913363</v>
      </c>
      <c r="D6" s="7">
        <f>105744847+2017+175663+131395</f>
        <v>106053922</v>
      </c>
      <c r="E6" s="7">
        <f>114804986+205425+146749</f>
        <v>115157160</v>
      </c>
      <c r="F6" s="7">
        <f>106852208+135572+99573</f>
        <v>107087353</v>
      </c>
      <c r="G6" s="7">
        <f>108302806+132656+51251</f>
        <v>108486713</v>
      </c>
      <c r="H6" s="7">
        <f>106132342+78205+40239</f>
        <v>106250786</v>
      </c>
      <c r="I6" s="7">
        <f>110875314+19633+65370</f>
        <v>110960317</v>
      </c>
      <c r="J6" s="7">
        <f>107380577+138075+51426</f>
        <v>107570078</v>
      </c>
      <c r="K6" s="7">
        <f>100543693+50107+130399</f>
        <v>100724199</v>
      </c>
      <c r="L6" s="7">
        <f>116076620+124949+177537</f>
        <v>116379106</v>
      </c>
      <c r="M6" s="7">
        <f>117461979+158248+147514</f>
        <v>117767741</v>
      </c>
      <c r="N6" s="7">
        <f>126523307+195578+215677</f>
        <v>126934562</v>
      </c>
    </row>
    <row r="7" spans="1:14" ht="22.5" customHeight="1" x14ac:dyDescent="0.25">
      <c r="A7" s="32"/>
      <c r="B7" s="11" t="s">
        <v>15</v>
      </c>
      <c r="C7" s="7">
        <v>22328600</v>
      </c>
      <c r="D7" s="7">
        <v>22039834</v>
      </c>
      <c r="E7" s="7">
        <v>22755340</v>
      </c>
      <c r="F7" s="7">
        <v>19213606</v>
      </c>
      <c r="G7" s="7">
        <v>16439481</v>
      </c>
      <c r="H7" s="7">
        <v>17451467</v>
      </c>
      <c r="I7" s="7">
        <v>17118235</v>
      </c>
      <c r="J7" s="7">
        <f>17267332</f>
        <v>17267332</v>
      </c>
      <c r="K7" s="7">
        <v>16693959</v>
      </c>
      <c r="L7" s="7">
        <v>21285255</v>
      </c>
      <c r="M7" s="7">
        <v>23147174</v>
      </c>
      <c r="N7" s="7">
        <v>25303511</v>
      </c>
    </row>
    <row r="8" spans="1:14" ht="22.5" customHeight="1" x14ac:dyDescent="0.25">
      <c r="A8" s="32"/>
      <c r="B8" s="11" t="s">
        <v>16</v>
      </c>
      <c r="C8" s="7">
        <f>3457351+1001666+72994</f>
        <v>4532011</v>
      </c>
      <c r="D8" s="7">
        <f>3177897+989914+80139</f>
        <v>4247950</v>
      </c>
      <c r="E8" s="7">
        <f>2786935+85991+888925+112265</f>
        <v>3874116</v>
      </c>
      <c r="F8" s="7">
        <f>2522060+738491+98220+69976</f>
        <v>3428747</v>
      </c>
      <c r="G8" s="7">
        <f>2310095+546490+83330+38441</f>
        <v>2978356</v>
      </c>
      <c r="H8" s="7">
        <f>1981943+582232+97326+51898</f>
        <v>2713399</v>
      </c>
      <c r="I8" s="7">
        <f>2279484+32813+101221+496383</f>
        <v>2909901</v>
      </c>
      <c r="J8" s="7">
        <f>2120466+492151+51918+76407</f>
        <v>2740942</v>
      </c>
      <c r="K8" s="7">
        <f>2202747+108578+22479+580037</f>
        <v>2913841</v>
      </c>
      <c r="L8" s="7">
        <f>2578995+129750+47061+778836</f>
        <v>3534642</v>
      </c>
      <c r="M8" s="7">
        <f>2796600+49865+825338</f>
        <v>3671803</v>
      </c>
      <c r="N8" s="7">
        <f>2882089+119564+55238+1029813</f>
        <v>4086704</v>
      </c>
    </row>
    <row r="9" spans="1:14" ht="22.5" customHeight="1" x14ac:dyDescent="0.25">
      <c r="A9" s="32"/>
      <c r="B9" s="11" t="s">
        <v>17</v>
      </c>
      <c r="C9" s="7">
        <f>992088+142583+1852</f>
        <v>1136523</v>
      </c>
      <c r="D9" s="7">
        <f>911036+134737+1857</f>
        <v>1047630</v>
      </c>
      <c r="E9" s="7">
        <f>763640+1916+124347+1554</f>
        <v>891457</v>
      </c>
      <c r="F9" s="7">
        <f>716505+113926+1667+1795</f>
        <v>833893</v>
      </c>
      <c r="G9" s="7">
        <f>602421+139116+1329+1667</f>
        <v>744533</v>
      </c>
      <c r="H9" s="7">
        <f>588509+114495+2127+1144</f>
        <v>706275</v>
      </c>
      <c r="I9" s="7">
        <f>546681+1174+2283+113296</f>
        <v>663434</v>
      </c>
      <c r="J9" s="7">
        <f>559621+115210+1267+2245</f>
        <v>678343</v>
      </c>
      <c r="K9" s="7">
        <f>588242+1765+2112+87003</f>
        <v>679122</v>
      </c>
      <c r="L9" s="7">
        <f>809771+1739+1783+108939</f>
        <v>922232</v>
      </c>
      <c r="M9" s="7">
        <f>874533+1987+124493</f>
        <v>1001013</v>
      </c>
      <c r="N9" s="7">
        <f>929539+2349+2296+132576</f>
        <v>1066760</v>
      </c>
    </row>
    <row r="10" spans="1:14" ht="22.5" customHeight="1" x14ac:dyDescent="0.25">
      <c r="A10" s="32"/>
      <c r="B10" s="33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4" ht="22.5" customHeight="1" x14ac:dyDescent="0.25">
      <c r="A11" s="36"/>
      <c r="B11" s="8"/>
      <c r="C11" s="7">
        <f>190713+529195</f>
        <v>719908</v>
      </c>
      <c r="D11" s="7">
        <f>178950+477678</f>
        <v>656628</v>
      </c>
      <c r="E11" s="7">
        <f>166812+432284</f>
        <v>599096</v>
      </c>
      <c r="F11" s="7">
        <f>176007+552685</f>
        <v>728692</v>
      </c>
      <c r="G11" s="7">
        <f>287026+1147846</f>
        <v>1434872</v>
      </c>
      <c r="H11" s="7">
        <f>274428+1032637</f>
        <v>1307065</v>
      </c>
      <c r="I11" s="7">
        <f>224736+907832</f>
        <v>1132568</v>
      </c>
      <c r="J11" s="7">
        <f>239402+923355</f>
        <v>1162757</v>
      </c>
      <c r="K11" s="7">
        <f>232230+909892</f>
        <v>1142122</v>
      </c>
      <c r="L11" s="7">
        <f>200814+723456</f>
        <v>924270</v>
      </c>
      <c r="M11" s="7">
        <f>123614+514208</f>
        <v>637822</v>
      </c>
      <c r="N11" s="7">
        <f>137519+547791</f>
        <v>685310</v>
      </c>
    </row>
    <row r="12" spans="1:14" ht="22.5" customHeight="1" x14ac:dyDescent="0.25">
      <c r="A12" s="37" t="s">
        <v>28</v>
      </c>
      <c r="B12" s="34" t="s">
        <v>30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22.5" customHeight="1" x14ac:dyDescent="0.25">
      <c r="A13" s="37"/>
      <c r="B13" s="11" t="s">
        <v>16</v>
      </c>
      <c r="C13" s="7">
        <v>17541</v>
      </c>
      <c r="D13" s="7">
        <v>20421</v>
      </c>
      <c r="E13" s="7">
        <v>18334</v>
      </c>
      <c r="F13" s="7">
        <v>15818</v>
      </c>
      <c r="G13" s="7">
        <v>14111</v>
      </c>
      <c r="H13" s="7">
        <v>11346</v>
      </c>
      <c r="I13" s="7">
        <v>12362</v>
      </c>
      <c r="J13" s="7">
        <v>10433</v>
      </c>
      <c r="K13" s="7">
        <v>13185</v>
      </c>
      <c r="L13" s="7">
        <v>14461</v>
      </c>
      <c r="M13" s="7">
        <v>21263</v>
      </c>
      <c r="N13" s="7">
        <v>15971</v>
      </c>
    </row>
    <row r="14" spans="1:14" ht="22.5" customHeight="1" x14ac:dyDescent="0.25">
      <c r="A14" s="37"/>
      <c r="B14" s="11" t="s">
        <v>17</v>
      </c>
      <c r="C14" s="7">
        <v>8066</v>
      </c>
      <c r="D14" s="7">
        <v>9862</v>
      </c>
      <c r="E14" s="7">
        <v>7903</v>
      </c>
      <c r="F14" s="7">
        <v>7326</v>
      </c>
      <c r="G14" s="7">
        <v>6568</v>
      </c>
      <c r="H14" s="7">
        <v>6300</v>
      </c>
      <c r="I14" s="7">
        <v>5588</v>
      </c>
      <c r="J14" s="7">
        <v>5613</v>
      </c>
      <c r="K14" s="7">
        <v>5247</v>
      </c>
      <c r="L14" s="7">
        <v>4217</v>
      </c>
      <c r="M14" s="7">
        <v>5153</v>
      </c>
      <c r="N14" s="7">
        <v>5272</v>
      </c>
    </row>
    <row r="15" spans="1:14" ht="22.5" customHeight="1" x14ac:dyDescent="0.25">
      <c r="A15" s="28" t="s">
        <v>18</v>
      </c>
      <c r="B15" s="29"/>
      <c r="C15" s="9">
        <f>SUM(C5:C9,C11,C13:C14)</f>
        <v>147261909</v>
      </c>
      <c r="D15" s="9">
        <f t="shared" ref="D15:N15" si="0">SUM(D5:D9,D11,D13:D14)</f>
        <v>138254922</v>
      </c>
      <c r="E15" s="9">
        <f t="shared" si="0"/>
        <v>147089729</v>
      </c>
      <c r="F15" s="9">
        <f t="shared" si="0"/>
        <v>134984244</v>
      </c>
      <c r="G15" s="9">
        <f t="shared" ref="G15" si="1">SUM(G5:G9,G11,G13:G14)</f>
        <v>132220972</v>
      </c>
      <c r="H15" s="9">
        <f t="shared" si="0"/>
        <v>131687552</v>
      </c>
      <c r="I15" s="9">
        <f t="shared" ref="I15:J15" si="2">SUM(I5:I9,I11,I13:I14)</f>
        <v>132802405</v>
      </c>
      <c r="J15" s="9">
        <f t="shared" si="2"/>
        <v>129435498</v>
      </c>
      <c r="K15" s="9">
        <f t="shared" si="0"/>
        <v>122171675</v>
      </c>
      <c r="L15" s="9">
        <f t="shared" si="0"/>
        <v>143064183</v>
      </c>
      <c r="M15" s="9">
        <f t="shared" si="0"/>
        <v>146251969</v>
      </c>
      <c r="N15" s="9">
        <f t="shared" si="0"/>
        <v>158098090</v>
      </c>
    </row>
    <row r="16" spans="1:14" s="10" customFormat="1" ht="22.5" customHeight="1" x14ac:dyDescent="0.2">
      <c r="A16" s="28" t="s">
        <v>20</v>
      </c>
      <c r="B16" s="29"/>
      <c r="C16" s="9">
        <f>C15</f>
        <v>147261909</v>
      </c>
      <c r="D16" s="9">
        <f t="shared" ref="D16:N16" si="3">D15</f>
        <v>138254922</v>
      </c>
      <c r="E16" s="9">
        <f t="shared" si="3"/>
        <v>147089729</v>
      </c>
      <c r="F16" s="9">
        <f t="shared" si="3"/>
        <v>134984244</v>
      </c>
      <c r="G16" s="9">
        <f t="shared" ref="G16" si="4">G15</f>
        <v>132220972</v>
      </c>
      <c r="H16" s="9">
        <f t="shared" si="3"/>
        <v>131687552</v>
      </c>
      <c r="I16" s="9">
        <f t="shared" ref="I16:J16" si="5">I15</f>
        <v>132802405</v>
      </c>
      <c r="J16" s="9">
        <f t="shared" si="5"/>
        <v>129435498</v>
      </c>
      <c r="K16" s="9">
        <f t="shared" si="3"/>
        <v>122171675</v>
      </c>
      <c r="L16" s="9">
        <f t="shared" si="3"/>
        <v>143064183</v>
      </c>
      <c r="M16" s="9">
        <f t="shared" si="3"/>
        <v>146251969</v>
      </c>
      <c r="N16" s="9">
        <f t="shared" si="3"/>
        <v>158098090</v>
      </c>
    </row>
  </sheetData>
  <mergeCells count="8">
    <mergeCell ref="A15:B15"/>
    <mergeCell ref="A16:B16"/>
    <mergeCell ref="A2:N2"/>
    <mergeCell ref="A4:A11"/>
    <mergeCell ref="B4:N4"/>
    <mergeCell ref="B10:N10"/>
    <mergeCell ref="A12:A14"/>
    <mergeCell ref="B12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opLeftCell="B1" zoomScale="87" zoomScaleNormal="87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1" t="s">
        <v>23</v>
      </c>
      <c r="B4" s="33" t="s">
        <v>30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22.5" customHeight="1" x14ac:dyDescent="0.25">
      <c r="A5" s="32"/>
      <c r="B5" s="12" t="s">
        <v>14</v>
      </c>
      <c r="C5" s="7">
        <f>120428477+279261+172527</f>
        <v>120880265</v>
      </c>
      <c r="D5" s="7">
        <f>108940906+145701</f>
        <v>109086607</v>
      </c>
      <c r="E5" s="7">
        <f>116809847+170763+261664</f>
        <v>117242274</v>
      </c>
      <c r="F5" s="7">
        <f>107668372+100251+192257</f>
        <v>107960880</v>
      </c>
      <c r="G5" s="7">
        <f>103570833+32014+159700</f>
        <v>103762547</v>
      </c>
      <c r="H5" s="7">
        <f>97730657+75114+164482</f>
        <v>97970253</v>
      </c>
      <c r="I5" s="7">
        <f>106620081+93612+156943</f>
        <v>106870636</v>
      </c>
      <c r="J5" s="7">
        <f>107588382+155570+97147</f>
        <v>107841099</v>
      </c>
      <c r="K5" s="7">
        <f>104153499+110791</f>
        <v>104264290</v>
      </c>
      <c r="L5" s="7">
        <f>116682378+147733+209952</f>
        <v>117040063</v>
      </c>
      <c r="M5" s="7">
        <f>114908089+250492+161706</f>
        <v>115320287</v>
      </c>
      <c r="N5" s="7">
        <f>124226916+329114</f>
        <v>124556030</v>
      </c>
    </row>
    <row r="6" spans="1:14" ht="22.5" customHeight="1" x14ac:dyDescent="0.25">
      <c r="A6" s="32"/>
      <c r="B6" s="12" t="s">
        <v>15</v>
      </c>
      <c r="C6" s="7">
        <v>23126117</v>
      </c>
      <c r="D6" s="7">
        <v>23594024</v>
      </c>
      <c r="E6" s="7">
        <v>26401578</v>
      </c>
      <c r="F6" s="7">
        <v>19542815</v>
      </c>
      <c r="G6" s="7">
        <v>19628739</v>
      </c>
      <c r="H6" s="7">
        <v>19255607</v>
      </c>
      <c r="I6" s="7">
        <v>17957225</v>
      </c>
      <c r="J6" s="7">
        <v>18099970</v>
      </c>
      <c r="K6" s="7">
        <v>17724255</v>
      </c>
      <c r="L6" s="7">
        <v>20248195</v>
      </c>
      <c r="M6" s="7">
        <v>22310279</v>
      </c>
      <c r="N6" s="7">
        <v>26049910</v>
      </c>
    </row>
    <row r="7" spans="1:14" ht="22.5" customHeight="1" x14ac:dyDescent="0.25">
      <c r="A7" s="32"/>
      <c r="B7" s="12" t="s">
        <v>16</v>
      </c>
      <c r="C7" s="7">
        <f>3324978+100239+84958+1079233</f>
        <v>4589408</v>
      </c>
      <c r="D7" s="7">
        <f>3129897+103697+967464</f>
        <v>4201058</v>
      </c>
      <c r="E7" s="7">
        <f>2749313+79510+921509+62206</f>
        <v>3812538</v>
      </c>
      <c r="F7" s="7">
        <f>2365716+97182+719563+45313</f>
        <v>3227774</v>
      </c>
      <c r="G7" s="7">
        <f>1906564+115747+632405+34145</f>
        <v>2688861</v>
      </c>
      <c r="H7" s="7">
        <f>1894693+90189+510318+32192</f>
        <v>2527392</v>
      </c>
      <c r="I7" s="7">
        <f>1900681+108212+484275+29340</f>
        <v>2522508</v>
      </c>
      <c r="J7" s="7">
        <f>2021908+42729+538752</f>
        <v>2603389</v>
      </c>
      <c r="K7" s="7">
        <f>2091415+518072</f>
        <v>2609487</v>
      </c>
      <c r="L7" s="7">
        <f>2517840+116739+732688+50622</f>
        <v>3417889</v>
      </c>
      <c r="M7" s="7">
        <f>2905123+121943+69746+925523</f>
        <v>4022335</v>
      </c>
      <c r="N7" s="7">
        <f>3203942+11351+892789</f>
        <v>4108082</v>
      </c>
    </row>
    <row r="8" spans="1:14" ht="22.5" customHeight="1" x14ac:dyDescent="0.25">
      <c r="A8" s="32"/>
      <c r="B8" s="12" t="s">
        <v>17</v>
      </c>
      <c r="C8" s="7">
        <f>975028+1565+1668+127413</f>
        <v>1105674</v>
      </c>
      <c r="D8" s="7">
        <f>880758+1735+133756</f>
        <v>1016249</v>
      </c>
      <c r="E8" s="7">
        <f>805471+1692+122923+1750</f>
        <v>931836</v>
      </c>
      <c r="F8" s="7">
        <f>739693+1663+120847+1818</f>
        <v>864021</v>
      </c>
      <c r="G8" s="7">
        <f>533844+1660+116688+1783</f>
        <v>653975</v>
      </c>
      <c r="H8" s="7">
        <f>516300+2091+103456+1433</f>
        <v>623280</v>
      </c>
      <c r="I8" s="7">
        <f>597723+2125+97743+1087</f>
        <v>698678</v>
      </c>
      <c r="J8" s="7">
        <f>582755+1204+116192</f>
        <v>700151</v>
      </c>
      <c r="K8" s="7">
        <f>619699+105848</f>
        <v>725547</v>
      </c>
      <c r="L8" s="7">
        <f>745344+3107+106330+1909</f>
        <v>856690</v>
      </c>
      <c r="M8" s="7">
        <f>855836+3222+1884+118950</f>
        <v>979892</v>
      </c>
      <c r="N8" s="7">
        <f>876370+6420+117874</f>
        <v>1000664</v>
      </c>
    </row>
    <row r="9" spans="1:14" ht="22.5" customHeight="1" x14ac:dyDescent="0.25">
      <c r="A9" s="32"/>
      <c r="B9" s="33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ht="22.5" customHeight="1" x14ac:dyDescent="0.25">
      <c r="A10" s="36"/>
      <c r="B10" s="8"/>
      <c r="C10" s="7">
        <f>145683+568913</f>
        <v>714596</v>
      </c>
      <c r="D10" s="7">
        <f>155744+541440</f>
        <v>697184</v>
      </c>
      <c r="E10" s="7">
        <f>146777+546030</f>
        <v>692807</v>
      </c>
      <c r="F10" s="7">
        <f>131355+576042</f>
        <v>707397</v>
      </c>
      <c r="G10" s="7">
        <f>204741+984465</f>
        <v>1189206</v>
      </c>
      <c r="H10" s="7">
        <f>270903+1111371</f>
        <v>1382274</v>
      </c>
      <c r="I10" s="7">
        <f>190097+851170</f>
        <v>1041267</v>
      </c>
      <c r="J10" s="7">
        <f>213501+979002</f>
        <v>1192503</v>
      </c>
      <c r="K10" s="7">
        <f>250162+1025501</f>
        <v>1275663</v>
      </c>
      <c r="L10" s="7">
        <f>155713+660496</f>
        <v>816209</v>
      </c>
      <c r="M10" s="7">
        <f>131677+583321</f>
        <v>714998</v>
      </c>
      <c r="N10" s="7">
        <f>136667+1148507</f>
        <v>1285174</v>
      </c>
    </row>
    <row r="11" spans="1:14" ht="22.5" customHeight="1" x14ac:dyDescent="0.25">
      <c r="A11" s="37" t="s">
        <v>28</v>
      </c>
      <c r="B11" s="34" t="s">
        <v>30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22.5" customHeight="1" x14ac:dyDescent="0.25">
      <c r="A12" s="37"/>
      <c r="B12" s="12" t="s">
        <v>16</v>
      </c>
      <c r="C12" s="7">
        <v>130131</v>
      </c>
      <c r="D12" s="7">
        <v>45842</v>
      </c>
      <c r="E12" s="7">
        <v>150298</v>
      </c>
      <c r="F12" s="13">
        <v>149692</v>
      </c>
      <c r="G12" s="7">
        <v>347067</v>
      </c>
      <c r="H12" s="7">
        <v>134020</v>
      </c>
      <c r="I12" s="7"/>
      <c r="J12" s="7"/>
      <c r="K12" s="7"/>
      <c r="L12" s="7"/>
      <c r="M12" s="7"/>
      <c r="N12" s="7"/>
    </row>
    <row r="13" spans="1:14" ht="22.5" customHeight="1" x14ac:dyDescent="0.25">
      <c r="A13" s="37"/>
      <c r="B13" s="12" t="s">
        <v>17</v>
      </c>
      <c r="C13" s="7">
        <v>82667</v>
      </c>
      <c r="D13" s="7">
        <v>79044</v>
      </c>
      <c r="E13" s="7">
        <v>125757</v>
      </c>
      <c r="F13" s="13">
        <v>80394</v>
      </c>
      <c r="G13" s="7">
        <v>110108</v>
      </c>
      <c r="H13" s="7">
        <v>77101</v>
      </c>
      <c r="I13" s="7"/>
      <c r="J13" s="7"/>
      <c r="K13" s="7"/>
      <c r="L13" s="7"/>
      <c r="M13" s="7"/>
      <c r="N13" s="7"/>
    </row>
    <row r="14" spans="1:14" ht="22.5" customHeight="1" x14ac:dyDescent="0.25">
      <c r="A14" s="28" t="s">
        <v>18</v>
      </c>
      <c r="B14" s="29"/>
      <c r="C14" s="9">
        <f t="shared" ref="C14:N14" si="0">SUM(C5:C8,C10,C12:C13)</f>
        <v>150628858</v>
      </c>
      <c r="D14" s="9">
        <f t="shared" si="0"/>
        <v>138720008</v>
      </c>
      <c r="E14" s="9">
        <f t="shared" si="0"/>
        <v>149357088</v>
      </c>
      <c r="F14" s="9">
        <f t="shared" si="0"/>
        <v>132532973</v>
      </c>
      <c r="G14" s="9">
        <f t="shared" si="0"/>
        <v>128380503</v>
      </c>
      <c r="H14" s="9">
        <f t="shared" si="0"/>
        <v>121969927</v>
      </c>
      <c r="I14" s="9">
        <f t="shared" si="0"/>
        <v>129090314</v>
      </c>
      <c r="J14" s="9">
        <f t="shared" si="0"/>
        <v>130437112</v>
      </c>
      <c r="K14" s="9">
        <f t="shared" si="0"/>
        <v>126599242</v>
      </c>
      <c r="L14" s="9">
        <f t="shared" si="0"/>
        <v>142379046</v>
      </c>
      <c r="M14" s="9">
        <f t="shared" si="0"/>
        <v>143347791</v>
      </c>
      <c r="N14" s="9">
        <f t="shared" si="0"/>
        <v>156999860</v>
      </c>
    </row>
    <row r="15" spans="1:14" s="10" customFormat="1" ht="22.5" customHeight="1" x14ac:dyDescent="0.2">
      <c r="A15" s="28" t="s">
        <v>20</v>
      </c>
      <c r="B15" s="29"/>
      <c r="C15" s="9">
        <f>C14</f>
        <v>150628858</v>
      </c>
      <c r="D15" s="9">
        <f t="shared" ref="D15:N15" si="1">D14</f>
        <v>138720008</v>
      </c>
      <c r="E15" s="9">
        <f t="shared" si="1"/>
        <v>149357088</v>
      </c>
      <c r="F15" s="9">
        <f t="shared" si="1"/>
        <v>132532973</v>
      </c>
      <c r="G15" s="9">
        <f t="shared" si="1"/>
        <v>128380503</v>
      </c>
      <c r="H15" s="9">
        <f t="shared" si="1"/>
        <v>121969927</v>
      </c>
      <c r="I15" s="9">
        <f t="shared" si="1"/>
        <v>129090314</v>
      </c>
      <c r="J15" s="9">
        <f t="shared" si="1"/>
        <v>130437112</v>
      </c>
      <c r="K15" s="9">
        <f t="shared" si="1"/>
        <v>126599242</v>
      </c>
      <c r="L15" s="9">
        <f t="shared" si="1"/>
        <v>142379046</v>
      </c>
      <c r="M15" s="9">
        <f t="shared" si="1"/>
        <v>143347791</v>
      </c>
      <c r="N15" s="9">
        <f t="shared" si="1"/>
        <v>156999860</v>
      </c>
    </row>
  </sheetData>
  <mergeCells count="8">
    <mergeCell ref="A14:B14"/>
    <mergeCell ref="A15:B15"/>
    <mergeCell ref="A2:N2"/>
    <mergeCell ref="A4:A10"/>
    <mergeCell ref="B4:N4"/>
    <mergeCell ref="B9:N9"/>
    <mergeCell ref="A11:A13"/>
    <mergeCell ref="B11:N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zoomScale="55" zoomScaleNormal="55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.28515625" style="1" customWidth="1"/>
    <col min="15" max="15" width="9.140625" style="16"/>
    <col min="16" max="16" width="9.140625" style="1"/>
    <col min="17" max="17" width="12.7109375" style="16" bestFit="1" customWidth="1"/>
    <col min="18" max="16384" width="9.140625" style="1"/>
  </cols>
  <sheetData>
    <row r="2" spans="1:17" ht="42.75" customHeight="1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17"/>
      <c r="Q3" s="17"/>
    </row>
    <row r="4" spans="1:17" ht="22.5" customHeight="1" x14ac:dyDescent="0.25">
      <c r="A4" s="31" t="s">
        <v>23</v>
      </c>
      <c r="B4" s="33" t="s">
        <v>30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7" ht="22.5" customHeight="1" x14ac:dyDescent="0.25">
      <c r="A5" s="32"/>
      <c r="B5" s="14" t="s">
        <v>14</v>
      </c>
      <c r="C5" s="7">
        <f>122107488+332310+149990</f>
        <v>122589788</v>
      </c>
      <c r="D5" s="7">
        <f>107240385+159771+229559</f>
        <v>107629715</v>
      </c>
      <c r="E5" s="7">
        <f>125635808+204870+153538</f>
        <v>125994216</v>
      </c>
      <c r="F5" s="7">
        <f>115193446+90058+128810</f>
        <v>115412314</v>
      </c>
      <c r="G5" s="7">
        <f>108128140+121031+94273</f>
        <v>108343444</v>
      </c>
      <c r="H5" s="7">
        <f>101890938+54080+114896</f>
        <v>102059914</v>
      </c>
      <c r="I5" s="7">
        <f>114194579+84960+73459</f>
        <v>114352998</v>
      </c>
      <c r="J5" s="7">
        <f>113782089+91150+83677</f>
        <v>113956916</v>
      </c>
      <c r="K5" s="7">
        <f>109998354+110077+108611</f>
        <v>110217042</v>
      </c>
      <c r="L5" s="7">
        <f>118605882+122676+168928</f>
        <v>118897486</v>
      </c>
      <c r="M5" s="7">
        <f>116592804+171833+275206</f>
        <v>117039843</v>
      </c>
      <c r="N5" s="7">
        <f>118146480+200740+314298</f>
        <v>118661518</v>
      </c>
      <c r="O5" s="16">
        <f>N5/M5</f>
        <v>1.0138557516691131</v>
      </c>
      <c r="Q5" s="15">
        <f>AVERAGE(C5:N5)</f>
        <v>114596266.16666667</v>
      </c>
    </row>
    <row r="6" spans="1:17" ht="22.5" customHeight="1" x14ac:dyDescent="0.25">
      <c r="A6" s="32"/>
      <c r="B6" s="14" t="s">
        <v>15</v>
      </c>
      <c r="C6" s="7">
        <v>23490864</v>
      </c>
      <c r="D6" s="7">
        <v>21258022</v>
      </c>
      <c r="E6" s="7">
        <v>24146428</v>
      </c>
      <c r="F6" s="7">
        <v>19101257</v>
      </c>
      <c r="G6" s="7">
        <v>17559971</v>
      </c>
      <c r="H6" s="7">
        <v>17883632</v>
      </c>
      <c r="I6" s="7">
        <v>17468643</v>
      </c>
      <c r="J6" s="7">
        <v>17056992</v>
      </c>
      <c r="K6" s="7">
        <v>17915577</v>
      </c>
      <c r="L6" s="7">
        <v>20129511</v>
      </c>
      <c r="M6" s="7">
        <v>21200300</v>
      </c>
      <c r="N6" s="7">
        <v>23181033</v>
      </c>
      <c r="O6" s="16">
        <f t="shared" ref="O6:O8" si="0">N6/M6</f>
        <v>1.0934294797715127</v>
      </c>
      <c r="Q6" s="15">
        <f t="shared" ref="Q6:Q10" si="1">AVERAGE(C6:N6)</f>
        <v>20032685.833333332</v>
      </c>
    </row>
    <row r="7" spans="1:17" ht="22.5" customHeight="1" x14ac:dyDescent="0.25">
      <c r="A7" s="32"/>
      <c r="B7" s="14" t="s">
        <v>16</v>
      </c>
      <c r="C7" s="7">
        <f>2854809+120633+92249+1188779</f>
        <v>4256470</v>
      </c>
      <c r="D7" s="7">
        <f>3039804+139918+836241+41125</f>
        <v>4057088</v>
      </c>
      <c r="E7" s="7">
        <f>2796276+135963+46726+958977</f>
        <v>3937942</v>
      </c>
      <c r="F7" s="7">
        <f>2291633+146792+798288+55346</f>
        <v>3292059</v>
      </c>
      <c r="G7" s="7">
        <f>2126090+144060+39163+617594</f>
        <v>2926907</v>
      </c>
      <c r="H7" s="7">
        <f>1721563+132109+543678+29160</f>
        <v>2426510</v>
      </c>
      <c r="I7" s="7">
        <f>1848865+151888+630259+36569</f>
        <v>2667581</v>
      </c>
      <c r="J7" s="7">
        <f>1850979+44257+149234+684213</f>
        <v>2728683</v>
      </c>
      <c r="K7" s="7">
        <f>2023484+108883+729671+34149</f>
        <v>2896187</v>
      </c>
      <c r="L7" s="7">
        <f>2293681+119800+857540+54276</f>
        <v>3325297</v>
      </c>
      <c r="M7" s="7">
        <f>2518875+109742+954978+43571</f>
        <v>3627166</v>
      </c>
      <c r="N7" s="7">
        <f>2685904+97560+993433+56405</f>
        <v>3833302</v>
      </c>
      <c r="O7" s="16">
        <f t="shared" si="0"/>
        <v>1.0568311458587778</v>
      </c>
      <c r="Q7" s="15">
        <f t="shared" si="1"/>
        <v>3331266</v>
      </c>
    </row>
    <row r="8" spans="1:17" ht="22.5" customHeight="1" x14ac:dyDescent="0.25">
      <c r="A8" s="32"/>
      <c r="B8" s="14" t="s">
        <v>17</v>
      </c>
      <c r="C8" s="7">
        <f>952039+3818+2933+125946</f>
        <v>1084736</v>
      </c>
      <c r="D8" s="7">
        <f>916092+2624+125640+872</f>
        <v>1045228</v>
      </c>
      <c r="E8" s="7">
        <f>735641+3239+1020+118041</f>
        <v>857941</v>
      </c>
      <c r="F8" s="7">
        <f>705387+2491+92222+790</f>
        <v>800890</v>
      </c>
      <c r="G8" s="7">
        <f>591038+5026+1201+74390</f>
        <v>671655</v>
      </c>
      <c r="H8" s="7">
        <f>563343+3136+73679+775</f>
        <v>640933</v>
      </c>
      <c r="I8" s="7">
        <f>562328+4024+73735+1068</f>
        <v>641155</v>
      </c>
      <c r="J8" s="7">
        <f>594177+992+5522+37312</f>
        <v>638003</v>
      </c>
      <c r="K8" s="7">
        <f>585166+4027+84066+1937</f>
        <v>675196</v>
      </c>
      <c r="L8" s="7">
        <f>708798+4559+89174+1212</f>
        <v>803743</v>
      </c>
      <c r="M8" s="7">
        <f>724502+5730+85203+1292</f>
        <v>816727</v>
      </c>
      <c r="N8" s="7">
        <f>758160+3586+94106+1938</f>
        <v>857790</v>
      </c>
      <c r="O8" s="16">
        <f t="shared" si="0"/>
        <v>1.0502775101104775</v>
      </c>
      <c r="Q8" s="15">
        <f t="shared" si="1"/>
        <v>794499.75</v>
      </c>
    </row>
    <row r="9" spans="1:17" ht="22.5" customHeight="1" x14ac:dyDescent="0.25">
      <c r="A9" s="32"/>
      <c r="B9" s="33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15"/>
    </row>
    <row r="10" spans="1:17" ht="22.5" customHeight="1" x14ac:dyDescent="0.25">
      <c r="A10" s="36"/>
      <c r="B10" s="8"/>
      <c r="C10" s="7">
        <f>197250+694892</f>
        <v>892142</v>
      </c>
      <c r="D10" s="7">
        <f>177153+582884</f>
        <v>760037</v>
      </c>
      <c r="E10" s="7">
        <f>144527+525329</f>
        <v>669856</v>
      </c>
      <c r="F10" s="7">
        <f>135359+547307</f>
        <v>682666</v>
      </c>
      <c r="G10" s="7">
        <f>165571+649634</f>
        <v>815205</v>
      </c>
      <c r="H10" s="7">
        <f>198938+741810</f>
        <v>940748</v>
      </c>
      <c r="I10" s="7">
        <f>176279+650180</f>
        <v>826459</v>
      </c>
      <c r="J10" s="7">
        <f>172816+708346</f>
        <v>881162</v>
      </c>
      <c r="K10" s="7">
        <f>185606+658204</f>
        <v>843810</v>
      </c>
      <c r="L10" s="7">
        <f>157336+624904</f>
        <v>782240</v>
      </c>
      <c r="M10" s="7">
        <f>138108+579823</f>
        <v>717931</v>
      </c>
      <c r="N10" s="7">
        <f>160872+638206</f>
        <v>799078</v>
      </c>
      <c r="O10" s="16">
        <f>N10/M10</f>
        <v>1.1130289679648879</v>
      </c>
      <c r="Q10" s="15">
        <f t="shared" si="1"/>
        <v>800944.5</v>
      </c>
    </row>
    <row r="11" spans="1:17" ht="22.5" customHeight="1" x14ac:dyDescent="0.25">
      <c r="A11" s="37" t="s">
        <v>28</v>
      </c>
      <c r="B11" s="34" t="s">
        <v>30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7" ht="22.5" customHeight="1" x14ac:dyDescent="0.25">
      <c r="A12" s="37"/>
      <c r="B12" s="14" t="s">
        <v>16</v>
      </c>
      <c r="C12" s="7"/>
      <c r="D12" s="7"/>
      <c r="E12" s="7"/>
      <c r="F12" s="13"/>
      <c r="G12" s="7"/>
      <c r="H12" s="7"/>
      <c r="I12" s="7"/>
      <c r="J12" s="7"/>
      <c r="K12" s="7"/>
      <c r="L12" s="7"/>
      <c r="M12" s="7"/>
      <c r="N12" s="7"/>
    </row>
    <row r="13" spans="1:17" ht="22.5" customHeight="1" x14ac:dyDescent="0.25">
      <c r="A13" s="37"/>
      <c r="B13" s="14" t="s">
        <v>17</v>
      </c>
      <c r="C13" s="7"/>
      <c r="D13" s="7"/>
      <c r="E13" s="7"/>
      <c r="F13" s="13"/>
      <c r="G13" s="7"/>
      <c r="H13" s="7"/>
      <c r="I13" s="7"/>
      <c r="J13" s="7"/>
      <c r="K13" s="7"/>
      <c r="L13" s="7"/>
      <c r="M13" s="7"/>
      <c r="N13" s="7"/>
    </row>
    <row r="14" spans="1:17" ht="22.5" customHeight="1" x14ac:dyDescent="0.25">
      <c r="A14" s="28" t="s">
        <v>18</v>
      </c>
      <c r="B14" s="29"/>
      <c r="C14" s="9">
        <f t="shared" ref="C14:N14" si="2">SUM(C5:C8,C10,C12:C13)</f>
        <v>152314000</v>
      </c>
      <c r="D14" s="9">
        <f t="shared" si="2"/>
        <v>134750090</v>
      </c>
      <c r="E14" s="9">
        <f t="shared" si="2"/>
        <v>155606383</v>
      </c>
      <c r="F14" s="9">
        <f t="shared" si="2"/>
        <v>139289186</v>
      </c>
      <c r="G14" s="9">
        <f t="shared" si="2"/>
        <v>130317182</v>
      </c>
      <c r="H14" s="9">
        <f t="shared" si="2"/>
        <v>123951737</v>
      </c>
      <c r="I14" s="9">
        <f t="shared" si="2"/>
        <v>135956836</v>
      </c>
      <c r="J14" s="9">
        <f t="shared" si="2"/>
        <v>135261756</v>
      </c>
      <c r="K14" s="9">
        <f t="shared" si="2"/>
        <v>132547812</v>
      </c>
      <c r="L14" s="9">
        <f t="shared" si="2"/>
        <v>143938277</v>
      </c>
      <c r="M14" s="9">
        <f t="shared" si="2"/>
        <v>143401967</v>
      </c>
      <c r="N14" s="9">
        <f t="shared" si="2"/>
        <v>147332721</v>
      </c>
    </row>
    <row r="15" spans="1:17" s="10" customFormat="1" ht="22.5" customHeight="1" x14ac:dyDescent="0.25">
      <c r="A15" s="28" t="s">
        <v>20</v>
      </c>
      <c r="B15" s="29"/>
      <c r="C15" s="9">
        <f>C14</f>
        <v>152314000</v>
      </c>
      <c r="D15" s="9">
        <f t="shared" ref="D15:N15" si="3">D14</f>
        <v>134750090</v>
      </c>
      <c r="E15" s="9">
        <f t="shared" si="3"/>
        <v>155606383</v>
      </c>
      <c r="F15" s="9">
        <f t="shared" si="3"/>
        <v>139289186</v>
      </c>
      <c r="G15" s="9">
        <f t="shared" si="3"/>
        <v>130317182</v>
      </c>
      <c r="H15" s="9">
        <f t="shared" si="3"/>
        <v>123951737</v>
      </c>
      <c r="I15" s="9">
        <f t="shared" si="3"/>
        <v>135956836</v>
      </c>
      <c r="J15" s="9">
        <f t="shared" si="3"/>
        <v>135261756</v>
      </c>
      <c r="K15" s="9">
        <f t="shared" si="3"/>
        <v>132547812</v>
      </c>
      <c r="L15" s="9">
        <f t="shared" si="3"/>
        <v>143938277</v>
      </c>
      <c r="M15" s="9">
        <f t="shared" si="3"/>
        <v>143401967</v>
      </c>
      <c r="N15" s="9">
        <f t="shared" si="3"/>
        <v>147332721</v>
      </c>
      <c r="O15" s="16"/>
      <c r="Q15" s="18"/>
    </row>
  </sheetData>
  <mergeCells count="8">
    <mergeCell ref="A14:B14"/>
    <mergeCell ref="A15:B15"/>
    <mergeCell ref="A2:N2"/>
    <mergeCell ref="A4:A10"/>
    <mergeCell ref="B4:N4"/>
    <mergeCell ref="B9:N9"/>
    <mergeCell ref="A11:A13"/>
    <mergeCell ref="B11:N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topLeftCell="B1"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1.28515625" style="1" customWidth="1"/>
    <col min="7" max="7" width="21.28515625" style="1" hidden="1" customWidth="1"/>
    <col min="8" max="8" width="21.28515625" style="1" customWidth="1"/>
    <col min="9" max="9" width="21.28515625" style="1" hidden="1" customWidth="1"/>
    <col min="10" max="10" width="21.28515625" style="1" customWidth="1"/>
    <col min="11" max="11" width="21.28515625" style="1" hidden="1" customWidth="1"/>
    <col min="12" max="12" width="21.28515625" style="1" customWidth="1"/>
    <col min="13" max="13" width="21.28515625" style="1" hidden="1" customWidth="1"/>
    <col min="14" max="14" width="21.28515625" style="1" customWidth="1"/>
    <col min="15" max="15" width="21.28515625" style="1" hidden="1" customWidth="1"/>
    <col min="16" max="16" width="21.28515625" style="1" customWidth="1"/>
    <col min="17" max="17" width="21.28515625" style="1" hidden="1" customWidth="1"/>
    <col min="18" max="18" width="21.28515625" style="1" customWidth="1"/>
    <col min="19" max="19" width="21.28515625" style="1" hidden="1" customWidth="1"/>
    <col min="20" max="20" width="21.28515625" style="1" customWidth="1"/>
    <col min="21" max="21" width="21.28515625" style="1" hidden="1" customWidth="1"/>
    <col min="22" max="22" width="21.28515625" style="1" customWidth="1"/>
    <col min="23" max="23" width="11.5703125" style="16" bestFit="1" customWidth="1"/>
    <col min="24" max="16384" width="9.140625" style="1"/>
  </cols>
  <sheetData>
    <row r="2" spans="1:23" ht="42.75" customHeight="1" x14ac:dyDescent="0.2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3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17"/>
    </row>
    <row r="4" spans="1:23" ht="22.5" customHeight="1" x14ac:dyDescent="0.25">
      <c r="A4" s="40" t="s">
        <v>35</v>
      </c>
      <c r="B4" s="43" t="s">
        <v>30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</row>
    <row r="5" spans="1:23" ht="22.5" customHeight="1" x14ac:dyDescent="0.25">
      <c r="A5" s="41"/>
      <c r="B5" s="19" t="s">
        <v>14</v>
      </c>
      <c r="C5" s="13">
        <f>106269178+132118+282668</f>
        <v>106683964</v>
      </c>
      <c r="D5" s="13">
        <f>98819454+139870+288832</f>
        <v>99248156</v>
      </c>
      <c r="E5" s="13">
        <f>106976948+129946+185841</f>
        <v>107292735</v>
      </c>
      <c r="F5" s="13">
        <f>95631300+95060+138625</f>
        <v>95864985</v>
      </c>
      <c r="G5" s="13">
        <v>0.9387511630691332</v>
      </c>
      <c r="H5" s="13">
        <f>87111670+53859+48406</f>
        <v>87213935</v>
      </c>
      <c r="I5" s="13">
        <v>0.94200359737502903</v>
      </c>
      <c r="J5" s="13">
        <f>90479714+76814+52881</f>
        <v>90609409</v>
      </c>
      <c r="K5" s="13">
        <v>1.1204496801751176</v>
      </c>
      <c r="L5" s="13">
        <f>93566757+62383+283529</f>
        <v>93912669</v>
      </c>
      <c r="M5" s="13">
        <v>0.99653632167999651</v>
      </c>
      <c r="N5" s="13">
        <f>97869346+72094</f>
        <v>97941440</v>
      </c>
      <c r="O5" s="13">
        <v>0.96718168469915422</v>
      </c>
      <c r="P5" s="13">
        <f>95650645+611350</f>
        <v>96261995</v>
      </c>
      <c r="Q5" s="13">
        <v>1.0787577296803157</v>
      </c>
      <c r="R5" s="13">
        <f>106939419+385513+11083</f>
        <v>107336015</v>
      </c>
      <c r="S5" s="13">
        <v>0.98437609521869962</v>
      </c>
      <c r="T5" s="13">
        <v>110607518</v>
      </c>
      <c r="U5" s="13">
        <v>1.0138557516691131</v>
      </c>
      <c r="V5" s="13">
        <f>122092653+473369</f>
        <v>122566022</v>
      </c>
      <c r="W5" s="16" t="e">
        <f>#REF!/'2020'!V5</f>
        <v>#REF!</v>
      </c>
    </row>
    <row r="6" spans="1:23" ht="22.5" customHeight="1" x14ac:dyDescent="0.25">
      <c r="A6" s="41"/>
      <c r="B6" s="19" t="s">
        <v>15</v>
      </c>
      <c r="C6" s="13">
        <v>20440944</v>
      </c>
      <c r="D6" s="13">
        <v>19104476</v>
      </c>
      <c r="E6" s="13">
        <v>19868791</v>
      </c>
      <c r="F6" s="13">
        <v>17257704</v>
      </c>
      <c r="G6" s="13">
        <v>0.91930970825637282</v>
      </c>
      <c r="H6" s="13">
        <v>14465233</v>
      </c>
      <c r="I6" s="13">
        <v>1.0184317502574463</v>
      </c>
      <c r="J6" s="13">
        <v>14532913</v>
      </c>
      <c r="K6" s="13">
        <v>0.97679503805490964</v>
      </c>
      <c r="L6" s="13">
        <v>16397370</v>
      </c>
      <c r="M6" s="13">
        <v>0.97643486102498056</v>
      </c>
      <c r="N6" s="13">
        <v>16003857</v>
      </c>
      <c r="O6" s="13">
        <v>1.0503362492050181</v>
      </c>
      <c r="P6" s="13">
        <v>16961569</v>
      </c>
      <c r="Q6" s="13">
        <v>1.1235759250176536</v>
      </c>
      <c r="R6" s="13">
        <v>21802769</v>
      </c>
      <c r="S6" s="13">
        <v>1.0531949832263685</v>
      </c>
      <c r="T6" s="13">
        <v>22242253</v>
      </c>
      <c r="U6" s="13">
        <v>1.0934294797715127</v>
      </c>
      <c r="V6" s="13">
        <f>25625146</f>
        <v>25625146</v>
      </c>
      <c r="W6" s="16" t="e">
        <f>#REF!/'2020'!V6</f>
        <v>#REF!</v>
      </c>
    </row>
    <row r="7" spans="1:23" ht="22.5" customHeight="1" x14ac:dyDescent="0.25">
      <c r="A7" s="41"/>
      <c r="B7" s="19" t="s">
        <v>16</v>
      </c>
      <c r="C7" s="13">
        <f>2639668+83635+1035911+67796</f>
        <v>3827010</v>
      </c>
      <c r="D7" s="13">
        <f>2616811+84882+860091+48414</f>
        <v>3610198</v>
      </c>
      <c r="E7" s="13">
        <f>2382224+88908+841887+61994</f>
        <v>3375013</v>
      </c>
      <c r="F7" s="13">
        <f>2073364+90586+807464+51304</f>
        <v>3022718</v>
      </c>
      <c r="G7" s="13">
        <v>0.88908096726091479</v>
      </c>
      <c r="H7" s="13">
        <f>1729075+101989+632392+33324</f>
        <v>2496780</v>
      </c>
      <c r="I7" s="13">
        <v>0.82903556553043878</v>
      </c>
      <c r="J7" s="13">
        <f>1683426+101484+563959+27807</f>
        <v>2376676</v>
      </c>
      <c r="K7" s="13">
        <v>1.0993488590609559</v>
      </c>
      <c r="L7" s="13">
        <f>1770508+42142+674197</f>
        <v>2486847</v>
      </c>
      <c r="M7" s="13">
        <v>1.0229053963122394</v>
      </c>
      <c r="N7" s="13">
        <f>1790226+614050</f>
        <v>2404276</v>
      </c>
      <c r="O7" s="13">
        <v>1.0613863904308416</v>
      </c>
      <c r="P7" s="13">
        <f>1838841+130276</f>
        <v>1969117</v>
      </c>
      <c r="Q7" s="13">
        <v>1.1481637753363301</v>
      </c>
      <c r="R7" s="13">
        <f>2147199+294855+115001+47222</f>
        <v>2604277</v>
      </c>
      <c r="S7" s="13">
        <v>1.0907795604422703</v>
      </c>
      <c r="T7" s="13">
        <v>3519991</v>
      </c>
      <c r="U7" s="13">
        <v>1.0568311458587778</v>
      </c>
      <c r="V7" s="13">
        <f>2662976+1030665</f>
        <v>3693641</v>
      </c>
      <c r="W7" s="16" t="e">
        <f>#REF!/'2020'!V7</f>
        <v>#REF!</v>
      </c>
    </row>
    <row r="8" spans="1:23" ht="22.5" customHeight="1" x14ac:dyDescent="0.25">
      <c r="A8" s="41"/>
      <c r="B8" s="19" t="s">
        <v>17</v>
      </c>
      <c r="C8" s="13">
        <f>728974+3969+93537+775</f>
        <v>827255</v>
      </c>
      <c r="D8" s="13">
        <f>673842+4365+92562+1405+1014</f>
        <v>773188</v>
      </c>
      <c r="E8" s="13">
        <f>595939+2425+83775+992</f>
        <v>683131</v>
      </c>
      <c r="F8" s="13">
        <f>530261+2400+70970+751</f>
        <v>604382</v>
      </c>
      <c r="G8" s="13">
        <v>0.83863576770842441</v>
      </c>
      <c r="H8" s="13">
        <f>446034+3705+70255+987</f>
        <v>520981</v>
      </c>
      <c r="I8" s="13">
        <v>0.95425925512353815</v>
      </c>
      <c r="J8" s="13">
        <f>490737+5861+66319+901</f>
        <v>563818</v>
      </c>
      <c r="K8" s="13">
        <v>1.0003463700574007</v>
      </c>
      <c r="L8" s="13">
        <f>515317+1005+106183</f>
        <v>622505</v>
      </c>
      <c r="M8" s="13">
        <v>0.99508387207461535</v>
      </c>
      <c r="N8" s="13">
        <f>498827+88604</f>
        <v>587431</v>
      </c>
      <c r="O8" s="13">
        <v>1.0582959641255605</v>
      </c>
      <c r="P8" s="13">
        <f>479928+78568</f>
        <v>558496</v>
      </c>
      <c r="Q8" s="13">
        <v>1.1903847179189451</v>
      </c>
      <c r="R8" s="13">
        <f>559144+92419+4930+863</f>
        <v>657356</v>
      </c>
      <c r="S8" s="13">
        <v>1.0161544175190329</v>
      </c>
      <c r="T8" s="13">
        <v>36197</v>
      </c>
      <c r="U8" s="13">
        <v>1.0502775101104775</v>
      </c>
      <c r="V8" s="13">
        <f>669550+95470</f>
        <v>765020</v>
      </c>
      <c r="W8" s="16" t="e">
        <f>#REF!/'2020'!V8</f>
        <v>#REF!</v>
      </c>
    </row>
    <row r="9" spans="1:23" ht="22.5" customHeight="1" x14ac:dyDescent="0.25">
      <c r="A9" s="41"/>
      <c r="B9" s="43" t="s">
        <v>31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</row>
    <row r="10" spans="1:23" ht="22.5" customHeight="1" x14ac:dyDescent="0.25">
      <c r="A10" s="42"/>
      <c r="B10" s="20"/>
      <c r="C10" s="13">
        <f>140070+248514</f>
        <v>388584</v>
      </c>
      <c r="D10" s="13">
        <f>173940+218702</f>
        <v>392642</v>
      </c>
      <c r="E10" s="13">
        <f>128860+228102</f>
        <v>356962</v>
      </c>
      <c r="F10" s="13">
        <f>144718+279070</f>
        <v>423788</v>
      </c>
      <c r="G10" s="13">
        <v>1.1941491153799955</v>
      </c>
      <c r="H10" s="13">
        <f>188050+370387</f>
        <v>558437</v>
      </c>
      <c r="I10" s="13">
        <v>1.1540017541599965</v>
      </c>
      <c r="J10" s="13">
        <f>175298+338089</f>
        <v>513387</v>
      </c>
      <c r="K10" s="13">
        <v>0.87851263037497818</v>
      </c>
      <c r="L10" s="13">
        <v>195449</v>
      </c>
      <c r="M10" s="13">
        <v>1.0661896113418814</v>
      </c>
      <c r="N10" s="13">
        <f>165888+323196</f>
        <v>489084</v>
      </c>
      <c r="O10" s="13">
        <v>0.95761051883762582</v>
      </c>
      <c r="P10" s="13">
        <f>180260+321492</f>
        <v>501752</v>
      </c>
      <c r="Q10" s="13">
        <v>0.92703333688863609</v>
      </c>
      <c r="R10" s="13">
        <v>164846</v>
      </c>
      <c r="S10" s="13">
        <v>0.91778865821231337</v>
      </c>
      <c r="T10" s="13">
        <v>142997</v>
      </c>
      <c r="U10" s="13">
        <v>1.1130289679648879</v>
      </c>
      <c r="V10" s="13">
        <v>161994</v>
      </c>
      <c r="W10" s="16" t="e">
        <f>#REF!/'2020'!V10</f>
        <v>#REF!</v>
      </c>
    </row>
    <row r="11" spans="1:23" s="10" customFormat="1" ht="22.5" customHeight="1" x14ac:dyDescent="0.2">
      <c r="A11" s="38" t="s">
        <v>20</v>
      </c>
      <c r="B11" s="39"/>
      <c r="C11" s="21">
        <f>SUM(C5:C8,C10)</f>
        <v>132167757</v>
      </c>
      <c r="D11" s="21">
        <f t="shared" ref="D11:V11" si="0">SUM(D5:D8,D10)</f>
        <v>123128660</v>
      </c>
      <c r="E11" s="21">
        <f t="shared" si="0"/>
        <v>131576632</v>
      </c>
      <c r="F11" s="21">
        <f t="shared" si="0"/>
        <v>117173577</v>
      </c>
      <c r="G11" s="21"/>
      <c r="H11" s="21">
        <f t="shared" si="0"/>
        <v>105255366</v>
      </c>
      <c r="I11" s="21"/>
      <c r="J11" s="21">
        <f t="shared" si="0"/>
        <v>108596203</v>
      </c>
      <c r="K11" s="21"/>
      <c r="L11" s="21">
        <f t="shared" si="0"/>
        <v>113614840</v>
      </c>
      <c r="M11" s="21"/>
      <c r="N11" s="21">
        <f t="shared" si="0"/>
        <v>117426088</v>
      </c>
      <c r="O11" s="21"/>
      <c r="P11" s="21">
        <f t="shared" si="0"/>
        <v>116252929</v>
      </c>
      <c r="Q11" s="21"/>
      <c r="R11" s="21">
        <f t="shared" si="0"/>
        <v>132565263</v>
      </c>
      <c r="S11" s="21"/>
      <c r="T11" s="21">
        <f t="shared" si="0"/>
        <v>136548956</v>
      </c>
      <c r="U11" s="21"/>
      <c r="V11" s="21">
        <f t="shared" si="0"/>
        <v>152811823</v>
      </c>
      <c r="W11" s="18"/>
    </row>
    <row r="12" spans="1:23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3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</sheetData>
  <mergeCells count="5">
    <mergeCell ref="A11:B11"/>
    <mergeCell ref="A2:V2"/>
    <mergeCell ref="A4:A10"/>
    <mergeCell ref="B4:V4"/>
    <mergeCell ref="B9:V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zoomScale="70" zoomScaleNormal="70" workbookViewId="0">
      <selection activeCell="N5" sqref="N5:N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.28515625" style="1" customWidth="1"/>
    <col min="15" max="16384" width="9.140625" style="1"/>
  </cols>
  <sheetData>
    <row r="2" spans="1:14" ht="42.75" customHeight="1" x14ac:dyDescent="0.25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46" t="s">
        <v>36</v>
      </c>
      <c r="B4" s="49" t="s">
        <v>30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2.5" customHeight="1" x14ac:dyDescent="0.25">
      <c r="A5" s="47"/>
      <c r="B5" s="25" t="s">
        <v>14</v>
      </c>
      <c r="C5" s="24"/>
      <c r="D5" s="24"/>
      <c r="E5" s="24"/>
      <c r="F5" s="24"/>
      <c r="G5" s="24">
        <v>20351</v>
      </c>
      <c r="H5" s="24">
        <v>11009</v>
      </c>
      <c r="I5" s="24">
        <v>10838</v>
      </c>
      <c r="J5" s="24">
        <v>12051</v>
      </c>
      <c r="K5" s="24">
        <v>14065</v>
      </c>
      <c r="L5" s="24">
        <v>27259</v>
      </c>
      <c r="M5" s="24">
        <v>33811</v>
      </c>
      <c r="N5" s="24">
        <v>42846</v>
      </c>
    </row>
    <row r="6" spans="1:14" ht="22.5" customHeight="1" x14ac:dyDescent="0.25">
      <c r="A6" s="47"/>
      <c r="B6" s="25" t="s">
        <v>15</v>
      </c>
      <c r="C6" s="24"/>
      <c r="D6" s="24"/>
      <c r="E6" s="24"/>
      <c r="F6" s="24"/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</row>
    <row r="7" spans="1:14" ht="22.5" customHeight="1" x14ac:dyDescent="0.25">
      <c r="A7" s="47"/>
      <c r="B7" s="25" t="s">
        <v>16</v>
      </c>
      <c r="C7" s="24"/>
      <c r="D7" s="24"/>
      <c r="E7" s="24"/>
      <c r="F7" s="24"/>
      <c r="G7" s="24">
        <v>130614</v>
      </c>
      <c r="H7" s="24">
        <v>97386</v>
      </c>
      <c r="I7" s="24">
        <v>104711</v>
      </c>
      <c r="J7" s="24">
        <v>129027</v>
      </c>
      <c r="K7" s="24">
        <v>90463</v>
      </c>
      <c r="L7" s="24">
        <v>140221</v>
      </c>
      <c r="M7" s="24">
        <v>182062</v>
      </c>
      <c r="N7" s="24">
        <v>225501</v>
      </c>
    </row>
    <row r="8" spans="1:14" ht="22.5" customHeight="1" x14ac:dyDescent="0.25">
      <c r="A8" s="47"/>
      <c r="B8" s="25" t="s">
        <v>17</v>
      </c>
      <c r="C8" s="24"/>
      <c r="D8" s="24"/>
      <c r="E8" s="24"/>
      <c r="F8" s="24"/>
      <c r="G8" s="24">
        <v>9184</v>
      </c>
      <c r="H8" s="24">
        <v>7232</v>
      </c>
      <c r="I8" s="24">
        <v>7011</v>
      </c>
      <c r="J8" s="24">
        <v>10994</v>
      </c>
      <c r="K8" s="24">
        <v>11517</v>
      </c>
      <c r="L8" s="24">
        <v>17114</v>
      </c>
      <c r="M8" s="24">
        <v>10158</v>
      </c>
      <c r="N8" s="24">
        <v>10050</v>
      </c>
    </row>
    <row r="9" spans="1:14" ht="22.5" customHeight="1" x14ac:dyDescent="0.25">
      <c r="A9" s="47"/>
      <c r="B9" s="49" t="s">
        <v>31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2.5" customHeight="1" x14ac:dyDescent="0.25">
      <c r="A10" s="48"/>
      <c r="B10" s="26"/>
      <c r="C10" s="24"/>
      <c r="D10" s="24"/>
      <c r="E10" s="24"/>
      <c r="F10" s="24"/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4" s="10" customFormat="1" ht="22.5" customHeight="1" x14ac:dyDescent="0.2">
      <c r="A11" s="52" t="s">
        <v>20</v>
      </c>
      <c r="B11" s="53"/>
      <c r="C11" s="27"/>
      <c r="D11" s="27"/>
      <c r="E11" s="27"/>
      <c r="F11" s="27"/>
      <c r="G11" s="27">
        <f t="shared" ref="G11:N11" si="0">SUM(G5:G8,G10)</f>
        <v>160149</v>
      </c>
      <c r="H11" s="27">
        <f t="shared" si="0"/>
        <v>115627</v>
      </c>
      <c r="I11" s="27">
        <f t="shared" si="0"/>
        <v>122560</v>
      </c>
      <c r="J11" s="27">
        <f t="shared" si="0"/>
        <v>152072</v>
      </c>
      <c r="K11" s="27">
        <f t="shared" si="0"/>
        <v>116045</v>
      </c>
      <c r="L11" s="27">
        <f t="shared" si="0"/>
        <v>184594</v>
      </c>
      <c r="M11" s="27">
        <f t="shared" si="0"/>
        <v>226031</v>
      </c>
      <c r="N11" s="27">
        <f t="shared" si="0"/>
        <v>278397</v>
      </c>
    </row>
    <row r="12" spans="1:14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22.5" customHeight="1" x14ac:dyDescent="0.25">
      <c r="L14" s="23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Теменко Евгений Николаевич</cp:lastModifiedBy>
  <dcterms:created xsi:type="dcterms:W3CDTF">2013-11-13T16:10:49Z</dcterms:created>
  <dcterms:modified xsi:type="dcterms:W3CDTF">2025-01-17T09:00:21Z</dcterms:modified>
</cp:coreProperties>
</file>