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xr:revisionPtr revIDLastSave="0" documentId="13_ncr:1_{F379F621-0016-4EAA-97A7-E8A0755559E1}" xr6:coauthVersionLast="47" xr6:coauthVersionMax="47" xr10:uidLastSave="{00000000-0000-0000-0000-000000000000}"/>
  <bookViews>
    <workbookView xWindow="-120" yWindow="-120" windowWidth="25440" windowHeight="15540" tabRatio="547" firstSheet="8" activeTab="11" xr2:uid="{00000000-000D-0000-FFFF-FFFF00000000}"/>
  </bookViews>
  <sheets>
    <sheet name="2013" sheetId="15" state="hidden" r:id="rId1"/>
    <sheet name="2014" sheetId="14" state="hidden" r:id="rId2"/>
    <sheet name="2015 " sheetId="7" state="hidden" r:id="rId3"/>
    <sheet name="2016" sheetId="17" state="hidden" r:id="rId4"/>
    <sheet name="2017" sheetId="18" state="hidden" r:id="rId5"/>
    <sheet name="2018" sheetId="19" state="hidden" r:id="rId6"/>
    <sheet name="2019" sheetId="20" state="hidden" r:id="rId7"/>
    <sheet name="2020" sheetId="21" state="hidden" r:id="rId8"/>
    <sheet name="2021" sheetId="22" r:id="rId9"/>
    <sheet name="2022" sheetId="23" r:id="rId10"/>
    <sheet name="2023" sheetId="24" r:id="rId11"/>
    <sheet name="2024" sheetId="2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25" l="1"/>
  <c r="K17" i="25" l="1"/>
  <c r="J17" i="25" l="1"/>
  <c r="I17" i="25" l="1"/>
  <c r="H17" i="25" l="1"/>
  <c r="G17" i="25" l="1"/>
  <c r="F17" i="25" l="1"/>
  <c r="D17" i="25" l="1"/>
  <c r="C10" i="25" l="1"/>
  <c r="C8" i="25"/>
  <c r="C7" i="25"/>
  <c r="C6" i="25"/>
  <c r="C5" i="25"/>
  <c r="K18" i="25" l="1"/>
  <c r="J18" i="25"/>
  <c r="F18" i="25"/>
  <c r="E18" i="25"/>
  <c r="N18" i="25"/>
  <c r="M18" i="25"/>
  <c r="L18" i="25"/>
  <c r="I18" i="25"/>
  <c r="H18" i="25"/>
  <c r="G18" i="25"/>
  <c r="D18" i="25"/>
  <c r="C18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E19" i="25" l="1"/>
  <c r="G19" i="25"/>
  <c r="D19" i="25"/>
  <c r="C19" i="25"/>
  <c r="H19" i="25"/>
  <c r="I19" i="25"/>
  <c r="F19" i="25"/>
  <c r="J19" i="25"/>
  <c r="K19" i="25"/>
  <c r="L19" i="25"/>
  <c r="M19" i="25"/>
  <c r="N19" i="25"/>
  <c r="N17" i="24"/>
  <c r="N10" i="24"/>
  <c r="N8" i="24"/>
  <c r="N7" i="24"/>
  <c r="N6" i="24"/>
  <c r="N5" i="24"/>
  <c r="M10" i="24" l="1"/>
  <c r="M8" i="24"/>
  <c r="M7" i="24"/>
  <c r="M6" i="24"/>
  <c r="M5" i="24"/>
  <c r="M17" i="24" l="1"/>
  <c r="L10" i="24" l="1"/>
  <c r="L8" i="24"/>
  <c r="L7" i="24"/>
  <c r="L6" i="24"/>
  <c r="L5" i="24"/>
  <c r="L17" i="24" l="1"/>
  <c r="K10" i="24" l="1"/>
  <c r="K8" i="24"/>
  <c r="K7" i="24"/>
  <c r="K6" i="24"/>
  <c r="K5" i="24"/>
  <c r="K17" i="24" l="1"/>
  <c r="J10" i="24" l="1"/>
  <c r="J8" i="24"/>
  <c r="J7" i="24"/>
  <c r="J6" i="24"/>
  <c r="J5" i="24"/>
  <c r="I10" i="24" l="1"/>
  <c r="I8" i="24"/>
  <c r="I7" i="24"/>
  <c r="I6" i="24"/>
  <c r="I5" i="24"/>
  <c r="I17" i="24" l="1"/>
  <c r="H10" i="24" l="1"/>
  <c r="H8" i="24"/>
  <c r="H7" i="24"/>
  <c r="H6" i="24"/>
  <c r="H5" i="24"/>
  <c r="H17" i="24" l="1"/>
  <c r="G10" i="24" l="1"/>
  <c r="G8" i="24"/>
  <c r="G7" i="24"/>
  <c r="G6" i="24"/>
  <c r="G5" i="24"/>
  <c r="F10" i="24" l="1"/>
  <c r="G17" i="24" l="1"/>
  <c r="F17" i="24" l="1"/>
  <c r="F15" i="24"/>
  <c r="F8" i="24" l="1"/>
  <c r="F7" i="24"/>
  <c r="F6" i="24"/>
  <c r="F5" i="24"/>
  <c r="E8" i="24" l="1"/>
  <c r="E7" i="24"/>
  <c r="E6" i="24"/>
  <c r="E5" i="24"/>
  <c r="E10" i="24"/>
  <c r="D8" i="24" l="1"/>
  <c r="D7" i="24"/>
  <c r="D6" i="24"/>
  <c r="D5" i="24"/>
  <c r="D10" i="24"/>
  <c r="D17" i="24"/>
  <c r="C10" i="24" l="1"/>
  <c r="C8" i="24" l="1"/>
  <c r="C7" i="24"/>
  <c r="C6" i="24"/>
  <c r="C17" i="24"/>
  <c r="C15" i="24"/>
  <c r="C5" i="24"/>
  <c r="C11" i="24" l="1"/>
  <c r="N18" i="24"/>
  <c r="M18" i="24"/>
  <c r="K18" i="24"/>
  <c r="H18" i="24"/>
  <c r="G18" i="24"/>
  <c r="C18" i="24"/>
  <c r="L18" i="24"/>
  <c r="J18" i="24"/>
  <c r="I18" i="24"/>
  <c r="F18" i="24"/>
  <c r="E18" i="24"/>
  <c r="D18" i="24"/>
  <c r="M11" i="24"/>
  <c r="K11" i="24"/>
  <c r="I11" i="24"/>
  <c r="G11" i="24"/>
  <c r="F11" i="24"/>
  <c r="N11" i="24"/>
  <c r="L11" i="24"/>
  <c r="J11" i="24"/>
  <c r="H11" i="24"/>
  <c r="E11" i="24"/>
  <c r="D11" i="24"/>
  <c r="K19" i="24" l="1"/>
  <c r="G19" i="24"/>
  <c r="M19" i="24"/>
  <c r="H19" i="24"/>
  <c r="L19" i="24"/>
  <c r="N19" i="24"/>
  <c r="C19" i="24"/>
  <c r="F19" i="24"/>
  <c r="E19" i="24"/>
  <c r="D19" i="24"/>
  <c r="I19" i="24"/>
  <c r="J19" i="24"/>
  <c r="AS10" i="23"/>
  <c r="AS8" i="23"/>
  <c r="AS7" i="23"/>
  <c r="AS6" i="23"/>
  <c r="AS5" i="23"/>
  <c r="AO10" i="23" l="1"/>
  <c r="AO8" i="23"/>
  <c r="AO7" i="23"/>
  <c r="AO6" i="23"/>
  <c r="AO5" i="23"/>
  <c r="AO16" i="23" l="1"/>
  <c r="AO13" i="23"/>
  <c r="AR13" i="23" s="1"/>
  <c r="AN14" i="23" l="1"/>
  <c r="AN13" i="23"/>
  <c r="AK16" i="23" l="1"/>
  <c r="AK10" i="23"/>
  <c r="AK8" i="23"/>
  <c r="AK7" i="23"/>
  <c r="AK6" i="23"/>
  <c r="AK5" i="23"/>
  <c r="AR16" i="23" l="1"/>
  <c r="AN16" i="23"/>
  <c r="AJ14" i="23"/>
  <c r="AJ13" i="23"/>
  <c r="AG10" i="23" l="1"/>
  <c r="AG8" i="23"/>
  <c r="AG7" i="23"/>
  <c r="AG6" i="23"/>
  <c r="AG5" i="23"/>
  <c r="AF14" i="23" l="1"/>
  <c r="AF13" i="23"/>
  <c r="AC10" i="23" l="1"/>
  <c r="AC8" i="23"/>
  <c r="AC7" i="23"/>
  <c r="AC6" i="23"/>
  <c r="AC5" i="23"/>
  <c r="AC16" i="23"/>
  <c r="AJ16" i="23" l="1"/>
  <c r="AB14" i="23"/>
  <c r="Y8" i="23" l="1"/>
  <c r="Y7" i="23"/>
  <c r="Y6" i="23"/>
  <c r="Y5" i="23"/>
  <c r="Y10" i="23"/>
  <c r="Y16" i="23" l="1"/>
  <c r="AF16" i="23" s="1"/>
  <c r="M16" i="23" l="1"/>
  <c r="M17" i="23" s="1"/>
  <c r="J16" i="23"/>
  <c r="G16" i="23"/>
  <c r="G17" i="23" s="1"/>
  <c r="D16" i="23"/>
  <c r="D17" i="23" s="1"/>
  <c r="M22" i="23"/>
  <c r="D22" i="23"/>
  <c r="E22" i="23"/>
  <c r="F22" i="23"/>
  <c r="G22" i="23"/>
  <c r="H22" i="23"/>
  <c r="I22" i="23"/>
  <c r="J22" i="23"/>
  <c r="K22" i="23"/>
  <c r="L22" i="23"/>
  <c r="L23" i="23" s="1"/>
  <c r="N22" i="23"/>
  <c r="O22" i="23"/>
  <c r="P22" i="23"/>
  <c r="Q22" i="23"/>
  <c r="R22" i="23"/>
  <c r="S22" i="23"/>
  <c r="T22" i="23"/>
  <c r="U22" i="23"/>
  <c r="V22" i="23"/>
  <c r="W22" i="23"/>
  <c r="E11" i="23"/>
  <c r="E23" i="23" s="1"/>
  <c r="F11" i="23"/>
  <c r="H11" i="23"/>
  <c r="I11" i="23"/>
  <c r="K11" i="23"/>
  <c r="L11" i="23"/>
  <c r="N11" i="23"/>
  <c r="O11" i="23"/>
  <c r="O23" i="23" s="1"/>
  <c r="P11" i="23"/>
  <c r="R11" i="23"/>
  <c r="S11" i="23"/>
  <c r="T11" i="23"/>
  <c r="V11" i="23"/>
  <c r="W11" i="23"/>
  <c r="X11" i="23"/>
  <c r="Z11" i="23"/>
  <c r="Z23" i="23" s="1"/>
  <c r="AA11" i="23"/>
  <c r="AC11" i="23"/>
  <c r="AD11" i="23"/>
  <c r="AD23" i="23" s="1"/>
  <c r="AE11" i="23"/>
  <c r="AE23" i="23" s="1"/>
  <c r="AG11" i="23"/>
  <c r="AH11" i="23"/>
  <c r="AH23" i="23" s="1"/>
  <c r="AI11" i="23"/>
  <c r="AK11" i="23"/>
  <c r="AL11" i="23"/>
  <c r="AM11" i="23"/>
  <c r="AM23" i="23" s="1"/>
  <c r="AO11" i="23"/>
  <c r="AP11" i="23"/>
  <c r="AP23" i="23" s="1"/>
  <c r="AQ11" i="23"/>
  <c r="AS11" i="23"/>
  <c r="E17" i="23"/>
  <c r="F17" i="23"/>
  <c r="H17" i="23"/>
  <c r="I17" i="23"/>
  <c r="J17" i="23"/>
  <c r="K17" i="23"/>
  <c r="L17" i="23"/>
  <c r="N17" i="23"/>
  <c r="O17" i="23"/>
  <c r="P17" i="23"/>
  <c r="Q17" i="23"/>
  <c r="R17" i="23"/>
  <c r="S17" i="23"/>
  <c r="T17" i="23"/>
  <c r="V17" i="23"/>
  <c r="W17" i="23"/>
  <c r="Z17" i="23"/>
  <c r="AA17" i="23"/>
  <c r="AC17" i="23"/>
  <c r="AD17" i="23"/>
  <c r="AE17" i="23"/>
  <c r="AG17" i="23"/>
  <c r="AH17" i="23"/>
  <c r="AI17" i="23"/>
  <c r="AK17" i="23"/>
  <c r="AL17" i="23"/>
  <c r="AM17" i="23"/>
  <c r="AO17" i="23"/>
  <c r="AP17" i="23"/>
  <c r="AQ17" i="23"/>
  <c r="AS17" i="23"/>
  <c r="X21" i="23"/>
  <c r="X19" i="23"/>
  <c r="AQ23" i="23" l="1"/>
  <c r="AA23" i="23"/>
  <c r="I23" i="23"/>
  <c r="V23" i="23"/>
  <c r="AL23" i="23"/>
  <c r="AI23" i="23"/>
  <c r="S23" i="23"/>
  <c r="AS23" i="23"/>
  <c r="AO23" i="23"/>
  <c r="AK23" i="23"/>
  <c r="AG23" i="23"/>
  <c r="AC23" i="23"/>
  <c r="H23" i="23"/>
  <c r="R23" i="23"/>
  <c r="F23" i="23"/>
  <c r="T23" i="23"/>
  <c r="P23" i="23"/>
  <c r="N23" i="23"/>
  <c r="W23" i="23"/>
  <c r="K23" i="23"/>
  <c r="X22" i="23"/>
  <c r="X14" i="23"/>
  <c r="U10" i="23" l="1"/>
  <c r="U8" i="23"/>
  <c r="U7" i="23"/>
  <c r="U6" i="23"/>
  <c r="U5" i="23"/>
  <c r="Y11" i="23" l="1"/>
  <c r="U11" i="23"/>
  <c r="U16" i="23"/>
  <c r="U17" i="23" s="1"/>
  <c r="U23" i="23" l="1"/>
  <c r="X16" i="23"/>
  <c r="X17" i="23" s="1"/>
  <c r="X23" i="23" s="1"/>
  <c r="Y17" i="23"/>
  <c r="Y23" i="23" s="1"/>
  <c r="Q7" i="23"/>
  <c r="Q8" i="23"/>
  <c r="Q6" i="23"/>
  <c r="Q5" i="23"/>
  <c r="Q10" i="23"/>
  <c r="Q11" i="23" l="1"/>
  <c r="Q23" i="23" s="1"/>
  <c r="M10" i="23"/>
  <c r="M8" i="23"/>
  <c r="M7" i="23"/>
  <c r="M6" i="23"/>
  <c r="M5" i="23"/>
  <c r="M11" i="23" s="1"/>
  <c r="M23" i="23" s="1"/>
  <c r="J10" i="23" l="1"/>
  <c r="J8" i="23"/>
  <c r="J7" i="23"/>
  <c r="J6" i="23"/>
  <c r="J5" i="23"/>
  <c r="J11" i="23" s="1"/>
  <c r="J23" i="23" s="1"/>
  <c r="G5" i="23" l="1"/>
  <c r="G10" i="23" l="1"/>
  <c r="G8" i="23"/>
  <c r="G7" i="23"/>
  <c r="G6" i="23"/>
  <c r="G11" i="23" s="1"/>
  <c r="G23" i="23" s="1"/>
  <c r="D5" i="23" l="1"/>
  <c r="D10" i="23" l="1"/>
  <c r="D7" i="23"/>
  <c r="D8" i="23"/>
  <c r="D6" i="23"/>
  <c r="D11" i="23" l="1"/>
  <c r="D23" i="23" s="1"/>
  <c r="AG7" i="22" l="1"/>
  <c r="AH7" i="22" s="1"/>
  <c r="AG8" i="22"/>
  <c r="AH8" i="22" s="1"/>
  <c r="AG6" i="22"/>
  <c r="AH6" i="22" s="1"/>
  <c r="AG5" i="22"/>
  <c r="AH5" i="22" s="1"/>
  <c r="AG10" i="22"/>
  <c r="AH10" i="22" s="1"/>
  <c r="AD8" i="22" l="1"/>
  <c r="AD7" i="22"/>
  <c r="AD6" i="22"/>
  <c r="AD5" i="22"/>
  <c r="AD10" i="22"/>
  <c r="AA7" i="22"/>
  <c r="AA8" i="22"/>
  <c r="AA6" i="22"/>
  <c r="AA5" i="22"/>
  <c r="AA11" i="22" s="1"/>
  <c r="AA12" i="22" s="1"/>
  <c r="X10" i="22"/>
  <c r="X8" i="22"/>
  <c r="X7" i="22"/>
  <c r="X11" i="22" s="1"/>
  <c r="X12" i="22" s="1"/>
  <c r="X6" i="22"/>
  <c r="X5" i="22"/>
  <c r="U7" i="22"/>
  <c r="U10" i="22"/>
  <c r="U11" i="22" s="1"/>
  <c r="U12" i="22" s="1"/>
  <c r="U8" i="22"/>
  <c r="U6" i="22"/>
  <c r="U5" i="22"/>
  <c r="O10" i="22"/>
  <c r="O8" i="22"/>
  <c r="O7" i="22"/>
  <c r="O6" i="22"/>
  <c r="O5" i="22"/>
  <c r="O11" i="22" s="1"/>
  <c r="O12" i="22" s="1"/>
  <c r="L10" i="22"/>
  <c r="L8" i="22"/>
  <c r="L7" i="22"/>
  <c r="L6" i="22"/>
  <c r="L5" i="22"/>
  <c r="I10" i="22"/>
  <c r="I8" i="22"/>
  <c r="I7" i="22"/>
  <c r="I6" i="22"/>
  <c r="I5" i="22"/>
  <c r="I11" i="22" s="1"/>
  <c r="I12" i="22" s="1"/>
  <c r="G7" i="22"/>
  <c r="G8" i="22"/>
  <c r="G11" i="22" s="1"/>
  <c r="G12" i="22" s="1"/>
  <c r="G6" i="22"/>
  <c r="G5" i="22"/>
  <c r="G10" i="22"/>
  <c r="E7" i="22"/>
  <c r="E11" i="22" s="1"/>
  <c r="E12" i="22" s="1"/>
  <c r="E10" i="22"/>
  <c r="E8" i="22"/>
  <c r="E6" i="22"/>
  <c r="E5" i="22"/>
  <c r="C7" i="22"/>
  <c r="W7" i="21" s="1"/>
  <c r="C8" i="22"/>
  <c r="C6" i="22"/>
  <c r="C5" i="22"/>
  <c r="W5" i="21" s="1"/>
  <c r="C10" i="22"/>
  <c r="W10" i="21" s="1"/>
  <c r="L11" i="22"/>
  <c r="L12" i="22" s="1"/>
  <c r="AG11" i="22"/>
  <c r="AG12" i="22" s="1"/>
  <c r="AD11" i="22"/>
  <c r="AD12" i="22" s="1"/>
  <c r="R11" i="22"/>
  <c r="R12" i="22"/>
  <c r="R6" i="21"/>
  <c r="P8" i="21"/>
  <c r="P7" i="21"/>
  <c r="P6" i="21"/>
  <c r="P11" i="21" s="1"/>
  <c r="P12" i="21" s="1"/>
  <c r="P5" i="21"/>
  <c r="P10" i="21"/>
  <c r="N8" i="21"/>
  <c r="N7" i="21"/>
  <c r="N6" i="21"/>
  <c r="N11" i="21" s="1"/>
  <c r="N12" i="21" s="1"/>
  <c r="L8" i="21"/>
  <c r="L7" i="21"/>
  <c r="L6" i="21"/>
  <c r="L11" i="21" s="1"/>
  <c r="L12" i="21" s="1"/>
  <c r="L5" i="21"/>
  <c r="J8" i="21"/>
  <c r="J7" i="21"/>
  <c r="J5" i="21"/>
  <c r="H8" i="21"/>
  <c r="H7" i="21"/>
  <c r="H5" i="21"/>
  <c r="H10" i="21"/>
  <c r="F8" i="21"/>
  <c r="F11" i="21" s="1"/>
  <c r="F12" i="21" s="1"/>
  <c r="F7" i="21"/>
  <c r="F5" i="21"/>
  <c r="E8" i="21"/>
  <c r="E11" i="21" s="1"/>
  <c r="E12" i="21" s="1"/>
  <c r="E7" i="21"/>
  <c r="E6" i="21"/>
  <c r="E5" i="21"/>
  <c r="D8" i="21"/>
  <c r="D11" i="21" s="1"/>
  <c r="D12" i="21" s="1"/>
  <c r="D6" i="21"/>
  <c r="C8" i="21"/>
  <c r="C7" i="21"/>
  <c r="C6" i="21"/>
  <c r="C5" i="21"/>
  <c r="C11" i="21" s="1"/>
  <c r="C12" i="21" s="1"/>
  <c r="V8" i="21"/>
  <c r="V7" i="21"/>
  <c r="V5" i="21"/>
  <c r="V11" i="21" s="1"/>
  <c r="V12" i="21" s="1"/>
  <c r="V6" i="21"/>
  <c r="T7" i="21"/>
  <c r="T8" i="21"/>
  <c r="T6" i="21"/>
  <c r="T5" i="21"/>
  <c r="T10" i="21"/>
  <c r="R7" i="21"/>
  <c r="R8" i="21"/>
  <c r="R5" i="21"/>
  <c r="R11" i="21" s="1"/>
  <c r="R12" i="21" s="1"/>
  <c r="R10" i="21"/>
  <c r="N5" i="21"/>
  <c r="N10" i="21"/>
  <c r="L10" i="21"/>
  <c r="J10" i="21"/>
  <c r="J6" i="21"/>
  <c r="H6" i="21"/>
  <c r="H11" i="21" s="1"/>
  <c r="H12" i="21" s="1"/>
  <c r="F10" i="21"/>
  <c r="F6" i="21"/>
  <c r="E10" i="21"/>
  <c r="D7" i="21"/>
  <c r="D5" i="21"/>
  <c r="D10" i="21"/>
  <c r="C10" i="21"/>
  <c r="T11" i="21"/>
  <c r="T12" i="21" s="1"/>
  <c r="J11" i="21"/>
  <c r="J12" i="21" s="1"/>
  <c r="N7" i="20"/>
  <c r="O7" i="20" s="1"/>
  <c r="N8" i="20"/>
  <c r="N6" i="20"/>
  <c r="N5" i="20"/>
  <c r="N10" i="20"/>
  <c r="O10" i="20" s="1"/>
  <c r="M10" i="20"/>
  <c r="M8" i="20"/>
  <c r="O8" i="20"/>
  <c r="M7" i="20"/>
  <c r="M11" i="20" s="1"/>
  <c r="M12" i="20" s="1"/>
  <c r="M6" i="20"/>
  <c r="O6" i="20"/>
  <c r="M5" i="20"/>
  <c r="O5" i="20"/>
  <c r="L7" i="20"/>
  <c r="L10" i="20"/>
  <c r="L8" i="20"/>
  <c r="L6" i="20"/>
  <c r="L5" i="20"/>
  <c r="K7" i="20"/>
  <c r="K8" i="20"/>
  <c r="K11" i="20" s="1"/>
  <c r="K12" i="20" s="1"/>
  <c r="K6" i="20"/>
  <c r="K5" i="20"/>
  <c r="K10" i="20"/>
  <c r="J7" i="20"/>
  <c r="J10" i="20"/>
  <c r="J8" i="20"/>
  <c r="J6" i="20"/>
  <c r="J11" i="20" s="1"/>
  <c r="J12" i="20" s="1"/>
  <c r="J5" i="20"/>
  <c r="I7" i="20"/>
  <c r="I8" i="20"/>
  <c r="I6" i="20"/>
  <c r="I5" i="20"/>
  <c r="I11" i="20" s="1"/>
  <c r="I12" i="20" s="1"/>
  <c r="I10" i="20"/>
  <c r="H7" i="20"/>
  <c r="H10" i="20"/>
  <c r="Q10" i="20" s="1"/>
  <c r="H8" i="20"/>
  <c r="H6" i="20"/>
  <c r="H5" i="20"/>
  <c r="G7" i="20"/>
  <c r="G11" i="20" s="1"/>
  <c r="G12" i="20" s="1"/>
  <c r="G8" i="20"/>
  <c r="G6" i="20"/>
  <c r="G5" i="20"/>
  <c r="G10" i="20"/>
  <c r="F8" i="20"/>
  <c r="Q8" i="20" s="1"/>
  <c r="F7" i="20"/>
  <c r="F6" i="20"/>
  <c r="F5" i="20"/>
  <c r="F11" i="20" s="1"/>
  <c r="F12" i="20" s="1"/>
  <c r="F10" i="20"/>
  <c r="E7" i="20"/>
  <c r="E8" i="20"/>
  <c r="E6" i="20"/>
  <c r="E11" i="20" s="1"/>
  <c r="E12" i="20" s="1"/>
  <c r="E5" i="20"/>
  <c r="E10" i="20"/>
  <c r="D7" i="20"/>
  <c r="D8" i="20"/>
  <c r="D6" i="20"/>
  <c r="D11" i="20" s="1"/>
  <c r="D12" i="20" s="1"/>
  <c r="D5" i="20"/>
  <c r="D10" i="20"/>
  <c r="C7" i="20"/>
  <c r="Q7" i="20" s="1"/>
  <c r="C8" i="20"/>
  <c r="C6" i="20"/>
  <c r="Q6" i="20" s="1"/>
  <c r="C5" i="20"/>
  <c r="C10" i="20"/>
  <c r="N11" i="20"/>
  <c r="N12" i="20" s="1"/>
  <c r="L11" i="20"/>
  <c r="L12" i="20" s="1"/>
  <c r="N8" i="19"/>
  <c r="N7" i="19"/>
  <c r="N6" i="19"/>
  <c r="N11" i="19" s="1"/>
  <c r="N12" i="19" s="1"/>
  <c r="N5" i="19"/>
  <c r="N10" i="19"/>
  <c r="M10" i="19"/>
  <c r="M8" i="19"/>
  <c r="M7" i="19"/>
  <c r="M6" i="19"/>
  <c r="M5" i="19"/>
  <c r="L7" i="19"/>
  <c r="L8" i="19"/>
  <c r="L6" i="19"/>
  <c r="L5" i="19"/>
  <c r="L10" i="19"/>
  <c r="K7" i="19"/>
  <c r="J10" i="19"/>
  <c r="K10" i="19"/>
  <c r="K8" i="19"/>
  <c r="K6" i="19"/>
  <c r="K5" i="19"/>
  <c r="J8" i="19"/>
  <c r="J7" i="19"/>
  <c r="J6" i="19"/>
  <c r="J5" i="19"/>
  <c r="I7" i="19"/>
  <c r="I10" i="19"/>
  <c r="I11" i="19" s="1"/>
  <c r="I12" i="19" s="1"/>
  <c r="I8" i="19"/>
  <c r="I6" i="19"/>
  <c r="I5" i="19"/>
  <c r="H10" i="19"/>
  <c r="H7" i="19"/>
  <c r="H8" i="19"/>
  <c r="H6" i="19"/>
  <c r="H5" i="19"/>
  <c r="G7" i="19"/>
  <c r="G10" i="19"/>
  <c r="G8" i="19"/>
  <c r="G6" i="19"/>
  <c r="G5" i="19"/>
  <c r="F10" i="19"/>
  <c r="F8" i="19"/>
  <c r="F7" i="19"/>
  <c r="F6" i="19"/>
  <c r="F5" i="19"/>
  <c r="E7" i="19"/>
  <c r="E10" i="19"/>
  <c r="E8" i="19"/>
  <c r="E11" i="19" s="1"/>
  <c r="E12" i="19" s="1"/>
  <c r="E6" i="19"/>
  <c r="E5" i="19"/>
  <c r="D7" i="19"/>
  <c r="D11" i="19" s="1"/>
  <c r="D12" i="19" s="1"/>
  <c r="D8" i="19"/>
  <c r="D6" i="19"/>
  <c r="D5" i="19"/>
  <c r="D10" i="19"/>
  <c r="C8" i="19"/>
  <c r="C7" i="19"/>
  <c r="C6" i="19"/>
  <c r="C5" i="19"/>
  <c r="C10" i="19"/>
  <c r="C11" i="19" s="1"/>
  <c r="C12" i="19" s="1"/>
  <c r="G11" i="19"/>
  <c r="G12" i="19" s="1"/>
  <c r="M11" i="19"/>
  <c r="M12" i="19" s="1"/>
  <c r="K11" i="19"/>
  <c r="K12" i="19" s="1"/>
  <c r="L11" i="19"/>
  <c r="L12" i="19" s="1"/>
  <c r="J11" i="19"/>
  <c r="J12" i="19" s="1"/>
  <c r="H11" i="19"/>
  <c r="H12" i="19" s="1"/>
  <c r="F11" i="19"/>
  <c r="F12" i="19" s="1"/>
  <c r="N10" i="18"/>
  <c r="H7" i="18"/>
  <c r="H6" i="18"/>
  <c r="H11" i="18" s="1"/>
  <c r="H12" i="18" s="1"/>
  <c r="H5" i="18"/>
  <c r="G7" i="18"/>
  <c r="G6" i="18"/>
  <c r="G5" i="18"/>
  <c r="F6" i="18"/>
  <c r="F5" i="18"/>
  <c r="E5" i="18"/>
  <c r="D5" i="18"/>
  <c r="C5" i="18"/>
  <c r="N7" i="18"/>
  <c r="N8" i="18"/>
  <c r="N6" i="18"/>
  <c r="N11" i="18" s="1"/>
  <c r="N12" i="18" s="1"/>
  <c r="N5" i="18"/>
  <c r="M7" i="18"/>
  <c r="M10" i="18"/>
  <c r="M8" i="18"/>
  <c r="M6" i="18"/>
  <c r="M5" i="18"/>
  <c r="L7" i="18"/>
  <c r="L8" i="18"/>
  <c r="L6" i="18"/>
  <c r="L5" i="18"/>
  <c r="L10" i="18"/>
  <c r="K8" i="18"/>
  <c r="K11" i="18" s="1"/>
  <c r="K12" i="18" s="1"/>
  <c r="K7" i="18"/>
  <c r="K6" i="18"/>
  <c r="K5" i="18"/>
  <c r="K10" i="18"/>
  <c r="I7" i="18"/>
  <c r="I8" i="18"/>
  <c r="I6" i="18"/>
  <c r="I5" i="18"/>
  <c r="I10" i="18"/>
  <c r="J7" i="18"/>
  <c r="J8" i="18"/>
  <c r="J6" i="18"/>
  <c r="J11" i="18" s="1"/>
  <c r="J12" i="18" s="1"/>
  <c r="J5" i="18"/>
  <c r="J10" i="18"/>
  <c r="I11" i="18"/>
  <c r="I12" i="18" s="1"/>
  <c r="H8" i="18"/>
  <c r="H10" i="18"/>
  <c r="G8" i="18"/>
  <c r="G11" i="18"/>
  <c r="G12" i="18" s="1"/>
  <c r="F10" i="18"/>
  <c r="F11" i="18" s="1"/>
  <c r="F12" i="18" s="1"/>
  <c r="F8" i="18"/>
  <c r="F7" i="18"/>
  <c r="E10" i="18"/>
  <c r="E8" i="18"/>
  <c r="E7" i="18"/>
  <c r="E6" i="18"/>
  <c r="D10" i="18"/>
  <c r="D7" i="18"/>
  <c r="D8" i="18"/>
  <c r="D6" i="18"/>
  <c r="D11" i="18" s="1"/>
  <c r="D12" i="18" s="1"/>
  <c r="C10" i="18"/>
  <c r="C8" i="18"/>
  <c r="C11" i="18" s="1"/>
  <c r="C12" i="18" s="1"/>
  <c r="C7" i="18"/>
  <c r="C6" i="18"/>
  <c r="M11" i="18"/>
  <c r="M12" i="18" s="1"/>
  <c r="L11" i="18"/>
  <c r="L12" i="18" s="1"/>
  <c r="E11" i="18"/>
  <c r="E12" i="18" s="1"/>
  <c r="E10" i="17"/>
  <c r="N11" i="17"/>
  <c r="N12" i="17" s="1"/>
  <c r="M11" i="17"/>
  <c r="M12" i="17" s="1"/>
  <c r="L11" i="17"/>
  <c r="L12" i="17" s="1"/>
  <c r="K11" i="17"/>
  <c r="K12" i="17" s="1"/>
  <c r="J11" i="17"/>
  <c r="J12" i="17" s="1"/>
  <c r="I11" i="17"/>
  <c r="I12" i="17" s="1"/>
  <c r="H11" i="17"/>
  <c r="H12" i="17" s="1"/>
  <c r="G11" i="17"/>
  <c r="G12" i="17" s="1"/>
  <c r="F11" i="17"/>
  <c r="F12" i="17" s="1"/>
  <c r="E11" i="17"/>
  <c r="E12" i="17" s="1"/>
  <c r="D11" i="17"/>
  <c r="D12" i="17" s="1"/>
  <c r="C11" i="17"/>
  <c r="C12" i="17" s="1"/>
  <c r="N11" i="7"/>
  <c r="N12" i="7" s="1"/>
  <c r="F14" i="15"/>
  <c r="F11" i="15"/>
  <c r="F15" i="15" s="1"/>
  <c r="F11" i="14"/>
  <c r="N14" i="15"/>
  <c r="M14" i="15"/>
  <c r="L14" i="15"/>
  <c r="K14" i="15"/>
  <c r="J14" i="15"/>
  <c r="I14" i="15"/>
  <c r="H14" i="15"/>
  <c r="G14" i="15"/>
  <c r="E14" i="15"/>
  <c r="E15" i="15" s="1"/>
  <c r="D14" i="15"/>
  <c r="C14" i="15"/>
  <c r="N11" i="15"/>
  <c r="M11" i="15"/>
  <c r="L11" i="15"/>
  <c r="K11" i="15"/>
  <c r="J11" i="15"/>
  <c r="I11" i="15"/>
  <c r="H11" i="15"/>
  <c r="G11" i="15"/>
  <c r="E11" i="15"/>
  <c r="D11" i="15"/>
  <c r="D15" i="15" s="1"/>
  <c r="C11" i="15"/>
  <c r="N15" i="15"/>
  <c r="I15" i="15"/>
  <c r="L15" i="15"/>
  <c r="M15" i="15"/>
  <c r="K15" i="15"/>
  <c r="J15" i="15"/>
  <c r="H15" i="15"/>
  <c r="G15" i="15"/>
  <c r="C15" i="15"/>
  <c r="C14" i="14"/>
  <c r="N14" i="14"/>
  <c r="M14" i="14"/>
  <c r="L14" i="14"/>
  <c r="K14" i="14"/>
  <c r="J14" i="14"/>
  <c r="I14" i="14"/>
  <c r="I15" i="14" s="1"/>
  <c r="H14" i="14"/>
  <c r="G14" i="14"/>
  <c r="F14" i="14"/>
  <c r="F15" i="14" s="1"/>
  <c r="E14" i="14"/>
  <c r="E15" i="14" s="1"/>
  <c r="D14" i="14"/>
  <c r="N11" i="14"/>
  <c r="N15" i="14" s="1"/>
  <c r="M11" i="14"/>
  <c r="M15" i="14" s="1"/>
  <c r="L11" i="14"/>
  <c r="K11" i="14"/>
  <c r="K15" i="14" s="1"/>
  <c r="J11" i="14"/>
  <c r="I11" i="14"/>
  <c r="H11" i="14"/>
  <c r="G11" i="14"/>
  <c r="G15" i="14" s="1"/>
  <c r="E11" i="14"/>
  <c r="D11" i="14"/>
  <c r="C11" i="14"/>
  <c r="C15" i="14" s="1"/>
  <c r="L15" i="14"/>
  <c r="J15" i="14"/>
  <c r="H15" i="14"/>
  <c r="D15" i="14"/>
  <c r="E11" i="7"/>
  <c r="E12" i="7" s="1"/>
  <c r="D11" i="7"/>
  <c r="D12" i="7" s="1"/>
  <c r="F11" i="7"/>
  <c r="F12" i="7"/>
  <c r="G11" i="7"/>
  <c r="G12" i="7"/>
  <c r="H11" i="7"/>
  <c r="H12" i="7"/>
  <c r="I11" i="7"/>
  <c r="I12" i="7"/>
  <c r="J11" i="7"/>
  <c r="J12" i="7" s="1"/>
  <c r="K11" i="7"/>
  <c r="K12" i="7" s="1"/>
  <c r="L11" i="7"/>
  <c r="L12" i="7"/>
  <c r="M11" i="7"/>
  <c r="M12" i="7"/>
  <c r="C11" i="7"/>
  <c r="C12" i="7"/>
  <c r="W6" i="21" l="1"/>
  <c r="C11" i="20"/>
  <c r="C12" i="20" s="1"/>
  <c r="W8" i="21"/>
  <c r="H11" i="20"/>
  <c r="H12" i="20" s="1"/>
  <c r="Q5" i="20"/>
  <c r="C11" i="22"/>
  <c r="C12" i="22" s="1"/>
</calcChain>
</file>

<file path=xl/sharedStrings.xml><?xml version="1.0" encoding="utf-8"?>
<sst xmlns="http://schemas.openxmlformats.org/spreadsheetml/2006/main" count="353" uniqueCount="44">
  <si>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</si>
  <si>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</si>
  <si>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</si>
  <si>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</si>
  <si>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</si>
  <si>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</si>
  <si>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</si>
  <si>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</si>
  <si>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</si>
  <si>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</si>
  <si>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</si>
  <si>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</si>
  <si>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</si>
  <si>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</si>
  <si>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</si>
  <si>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</si>
  <si>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</si>
  <si>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</si>
  <si>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</si>
  <si>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ВСЕГО</t>
  </si>
  <si>
    <t>Информация о фактическом полезном отпуске электрической энергии (мощности) потребителям ООО "РУСЭНЕРГОСБЫТ" в границах Оренбургской области в разрезе ТСО за 2015 год</t>
  </si>
  <si>
    <t>ОАО "МРСК Волги" "Оренбургэнерго"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</si>
  <si>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</si>
  <si>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</si>
  <si>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Оренбургской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</si>
  <si>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Оренбургской области в разрезе ТСО за 2013 год</t>
  </si>
  <si>
    <t>ГУП «Оренбургкоммунэлектросеть» (ОКЭС)</t>
  </si>
  <si>
    <t>ООО "Оренбургэнергонефть" (ОЭН)</t>
  </si>
  <si>
    <t>Информация о фактическом полезном отпуске электрической энергии (мощности) потребителям ООО "РУСЭНЕРГОСБЫТ" в границах Оренбургской области в разрезе ТСО за 2016 год</t>
  </si>
  <si>
    <t>ПАО "МРСК Волги" "Оренбургэнерго"</t>
  </si>
  <si>
    <t>Информация о фактическом полезном отпуске электрической энергии (мощности) потребителям ООО "РУСЭНЕРГОСБЫТ" в границах Оренбургской области в разрезе ТСО за 2017 год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</si>
  <si>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</si>
  <si>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</si>
  <si>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Оренбургской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</si>
  <si>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Оренбургской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</si>
  <si>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Оренбургской области в разрезе ТСО за 2020 год</t>
  </si>
  <si>
    <t>филиал ПАО «Россети Волга» "Оренбургэнерго"</t>
  </si>
  <si>
    <t>Информация о фактическом полезном отпуске электрической энергии (мощности) потребителям ООО "РУСЭНЕРГОСБЫТ" в границах Оренбургской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</si>
  <si>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Оренбургской области в разрезе ТСО за 2022 год</t>
  </si>
  <si>
    <t>-</t>
  </si>
  <si>
    <t>Южно-Уральская дирекция по энергообеспечению - структурное подразделение "Трансэнерго"- филиала ОАО "РЖД"</t>
  </si>
  <si>
    <t>ГУП "ОКЭС"</t>
  </si>
  <si>
    <t>Информация о фактическом полезном отпуске электрической энергии (мощности) потребителям ООО "РУСЭНЕРГОСБЫТ" в границах Оренбургской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</si>
  <si>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Оренбургской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</si>
</sst>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0000000000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 applyAlignment="1">
      <alignment horizontal="center" vertical="center" wrapText="1"/>
    </xf>
    <xf numFmtId="3" fontId="4" fillId="0" borderId="0" xfId="0" applyNumberFormat="1" applyFont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3" fontId="7" fillId="0" borderId="3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/>
    <xf numFmtId="3" fontId="2" fillId="0" borderId="10" xfId="0" applyNumberFormat="1" applyFont="1" applyBorder="1" applyAlignment="1">
      <alignment horizontal="center" vertical="center"/>
    </xf>
    <xf numFmtId="3" fontId="2" fillId="0" borderId="10" xfId="0" applyNumberFormat="1" applyFont="1" applyBorder="1"/>
    <xf numFmtId="3" fontId="2" fillId="0" borderId="8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 vertical="center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165" fontId="2" fillId="0" borderId="0" xfId="0" applyNumberFormat="1" applyFont="1"/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workbookViewId="0">
      <selection activeCell="G16" sqref="G1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46" t="s">
        <v>25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47" t="s">
        <v>21</v>
      </c>
      <c r="B4" s="49" t="s">
        <v>22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ht="22.5" customHeight="1" x14ac:dyDescent="0.25">
      <c r="A5" s="48"/>
      <c r="B5" s="5" t="s">
        <v>14</v>
      </c>
      <c r="C5" s="3">
        <v>38621853</v>
      </c>
      <c r="D5" s="3">
        <v>34846335</v>
      </c>
      <c r="E5" s="3">
        <v>38091398</v>
      </c>
      <c r="F5" s="3">
        <v>34749052</v>
      </c>
      <c r="G5" s="3">
        <v>33188217</v>
      </c>
      <c r="H5" s="3">
        <v>33249147</v>
      </c>
      <c r="I5" s="3">
        <v>34892848</v>
      </c>
      <c r="J5" s="3">
        <v>35006916</v>
      </c>
      <c r="K5" s="3">
        <v>35811533</v>
      </c>
      <c r="L5" s="3">
        <v>39501992</v>
      </c>
      <c r="M5" s="3">
        <v>39267958</v>
      </c>
      <c r="N5" s="3">
        <v>41297412</v>
      </c>
    </row>
    <row r="6" spans="1:14" ht="22.5" customHeight="1" x14ac:dyDescent="0.25">
      <c r="A6" s="48"/>
      <c r="B6" s="5" t="s">
        <v>15</v>
      </c>
      <c r="C6" s="3">
        <v>2362816</v>
      </c>
      <c r="D6" s="3">
        <v>2092495</v>
      </c>
      <c r="E6" s="3">
        <v>2325005</v>
      </c>
      <c r="F6" s="3">
        <v>2278400</v>
      </c>
      <c r="G6" s="3">
        <v>2179326</v>
      </c>
      <c r="H6" s="3">
        <v>2183127</v>
      </c>
      <c r="I6" s="3">
        <v>2206004</v>
      </c>
      <c r="J6" s="3">
        <v>2221575</v>
      </c>
      <c r="K6" s="3">
        <v>2287442</v>
      </c>
      <c r="L6" s="3">
        <v>2364861</v>
      </c>
      <c r="M6" s="3">
        <v>2306038</v>
      </c>
      <c r="N6" s="3">
        <v>2452853</v>
      </c>
    </row>
    <row r="7" spans="1:14" ht="22.5" customHeight="1" x14ac:dyDescent="0.25">
      <c r="A7" s="48"/>
      <c r="B7" s="5" t="s">
        <v>16</v>
      </c>
      <c r="C7" s="3">
        <v>117160</v>
      </c>
      <c r="D7" s="3">
        <v>95451</v>
      </c>
      <c r="E7" s="3">
        <v>101481</v>
      </c>
      <c r="F7" s="3">
        <v>87078</v>
      </c>
      <c r="G7" s="3">
        <v>63197</v>
      </c>
      <c r="H7" s="3">
        <v>55416</v>
      </c>
      <c r="I7" s="3">
        <v>60138</v>
      </c>
      <c r="J7" s="3">
        <v>71846</v>
      </c>
      <c r="K7" s="3">
        <v>77260</v>
      </c>
      <c r="L7" s="3">
        <v>106108</v>
      </c>
      <c r="M7" s="3">
        <v>127026</v>
      </c>
      <c r="N7" s="3">
        <v>151053</v>
      </c>
    </row>
    <row r="8" spans="1:14" ht="22.5" customHeight="1" x14ac:dyDescent="0.25">
      <c r="A8" s="48"/>
      <c r="B8" s="5" t="s">
        <v>17</v>
      </c>
      <c r="C8" s="3">
        <v>167416</v>
      </c>
      <c r="D8" s="3">
        <v>155836</v>
      </c>
      <c r="E8" s="3">
        <v>118644</v>
      </c>
      <c r="F8" s="3">
        <v>103694</v>
      </c>
      <c r="G8" s="3">
        <v>80470</v>
      </c>
      <c r="H8" s="3">
        <v>105406</v>
      </c>
      <c r="I8" s="3">
        <v>123429</v>
      </c>
      <c r="J8" s="3">
        <v>98586</v>
      </c>
      <c r="K8" s="3">
        <v>95880</v>
      </c>
      <c r="L8" s="3">
        <v>104562</v>
      </c>
      <c r="M8" s="3">
        <v>110641</v>
      </c>
      <c r="N8" s="3">
        <v>175317</v>
      </c>
    </row>
    <row r="9" spans="1:14" ht="22.5" customHeight="1" x14ac:dyDescent="0.25">
      <c r="A9" s="48"/>
      <c r="B9" s="49" t="s">
        <v>23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</row>
    <row r="10" spans="1:14" ht="22.5" customHeight="1" x14ac:dyDescent="0.25">
      <c r="A10" s="48"/>
      <c r="B10" s="4"/>
      <c r="C10" s="3">
        <v>607758</v>
      </c>
      <c r="D10" s="3">
        <v>504000</v>
      </c>
      <c r="E10" s="3">
        <v>536670</v>
      </c>
      <c r="F10" s="3">
        <v>459591</v>
      </c>
      <c r="G10" s="3">
        <v>484872</v>
      </c>
      <c r="H10" s="3">
        <v>446570</v>
      </c>
      <c r="I10" s="3">
        <v>292809</v>
      </c>
      <c r="J10" s="3">
        <v>333756</v>
      </c>
      <c r="K10" s="3">
        <v>250090</v>
      </c>
      <c r="L10" s="3">
        <v>370847</v>
      </c>
      <c r="M10" s="3">
        <v>407334</v>
      </c>
      <c r="N10" s="3">
        <v>556926</v>
      </c>
    </row>
    <row r="11" spans="1:14" ht="22.5" customHeight="1" x14ac:dyDescent="0.25">
      <c r="A11" s="44" t="s">
        <v>18</v>
      </c>
      <c r="B11" s="45"/>
      <c r="C11" s="9">
        <f t="shared" ref="C11:N11" si="0">SUM(C5:C8,C10)</f>
        <v>41877003</v>
      </c>
      <c r="D11" s="9">
        <f t="shared" si="0"/>
        <v>37694117</v>
      </c>
      <c r="E11" s="9">
        <f t="shared" si="0"/>
        <v>41173198</v>
      </c>
      <c r="F11" s="9">
        <f>SUM(F5:F8,F10)</f>
        <v>37677815</v>
      </c>
      <c r="G11" s="9">
        <f t="shared" si="0"/>
        <v>35996082</v>
      </c>
      <c r="H11" s="9">
        <f t="shared" si="0"/>
        <v>36039666</v>
      </c>
      <c r="I11" s="9">
        <f t="shared" si="0"/>
        <v>37575228</v>
      </c>
      <c r="J11" s="9">
        <f t="shared" si="0"/>
        <v>37732679</v>
      </c>
      <c r="K11" s="9">
        <f t="shared" si="0"/>
        <v>38522205</v>
      </c>
      <c r="L11" s="9">
        <f t="shared" si="0"/>
        <v>42448370</v>
      </c>
      <c r="M11" s="9">
        <f t="shared" si="0"/>
        <v>42218997</v>
      </c>
      <c r="N11" s="9">
        <f t="shared" si="0"/>
        <v>44633561</v>
      </c>
    </row>
    <row r="12" spans="1:14" ht="42.75" customHeight="1" x14ac:dyDescent="0.25">
      <c r="A12" s="11" t="s">
        <v>26</v>
      </c>
      <c r="B12" s="5" t="s">
        <v>16</v>
      </c>
      <c r="C12" s="3">
        <v>117848</v>
      </c>
      <c r="D12" s="3">
        <v>109488</v>
      </c>
      <c r="E12" s="3">
        <v>122017</v>
      </c>
      <c r="F12" s="3">
        <v>114041</v>
      </c>
      <c r="G12" s="3">
        <v>113478</v>
      </c>
      <c r="H12" s="3">
        <v>107045</v>
      </c>
      <c r="I12" s="3">
        <v>222416</v>
      </c>
      <c r="J12" s="3">
        <v>131484</v>
      </c>
      <c r="K12" s="3">
        <v>117822</v>
      </c>
      <c r="L12" s="3">
        <v>112742</v>
      </c>
      <c r="M12" s="3">
        <v>112742</v>
      </c>
      <c r="N12" s="3">
        <v>105905</v>
      </c>
    </row>
    <row r="13" spans="1:14" ht="48.75" customHeight="1" x14ac:dyDescent="0.25">
      <c r="A13" s="11" t="s">
        <v>27</v>
      </c>
      <c r="B13" s="5" t="s">
        <v>16</v>
      </c>
      <c r="C13" s="3">
        <v>73120</v>
      </c>
      <c r="D13" s="3">
        <v>67153</v>
      </c>
      <c r="E13" s="3">
        <v>67153</v>
      </c>
      <c r="F13" s="3">
        <v>71611</v>
      </c>
      <c r="G13" s="3">
        <v>80417</v>
      </c>
      <c r="H13" s="3">
        <v>85063</v>
      </c>
      <c r="I13" s="3">
        <v>32027</v>
      </c>
      <c r="J13" s="3">
        <v>68884</v>
      </c>
      <c r="K13" s="3">
        <v>58019</v>
      </c>
      <c r="L13" s="3">
        <v>60040</v>
      </c>
      <c r="M13" s="3">
        <v>59180</v>
      </c>
      <c r="N13" s="3">
        <v>69175</v>
      </c>
    </row>
    <row r="14" spans="1:14" ht="24" customHeight="1" x14ac:dyDescent="0.25">
      <c r="A14" s="44" t="s">
        <v>18</v>
      </c>
      <c r="B14" s="45"/>
      <c r="C14" s="9">
        <f>C12+C13</f>
        <v>190968</v>
      </c>
      <c r="D14" s="9">
        <f t="shared" ref="D14:N14" si="1">D12+D13</f>
        <v>176641</v>
      </c>
      <c r="E14" s="9">
        <f t="shared" si="1"/>
        <v>189170</v>
      </c>
      <c r="F14" s="9">
        <f>F12+F13</f>
        <v>185652</v>
      </c>
      <c r="G14" s="9">
        <f t="shared" si="1"/>
        <v>193895</v>
      </c>
      <c r="H14" s="9">
        <f t="shared" si="1"/>
        <v>192108</v>
      </c>
      <c r="I14" s="9">
        <f t="shared" si="1"/>
        <v>254443</v>
      </c>
      <c r="J14" s="9">
        <f t="shared" si="1"/>
        <v>200368</v>
      </c>
      <c r="K14" s="9">
        <f t="shared" si="1"/>
        <v>175841</v>
      </c>
      <c r="L14" s="9">
        <f t="shared" si="1"/>
        <v>172782</v>
      </c>
      <c r="M14" s="9">
        <f t="shared" si="1"/>
        <v>171922</v>
      </c>
      <c r="N14" s="9">
        <f t="shared" si="1"/>
        <v>175080</v>
      </c>
    </row>
    <row r="15" spans="1:14" s="10" customFormat="1" ht="22.5" customHeight="1" x14ac:dyDescent="0.2">
      <c r="A15" s="44" t="s">
        <v>19</v>
      </c>
      <c r="B15" s="45"/>
      <c r="C15" s="9">
        <f>C11+C14</f>
        <v>42067971</v>
      </c>
      <c r="D15" s="9">
        <f t="shared" ref="D15:N15" si="2">D11+D14</f>
        <v>37870758</v>
      </c>
      <c r="E15" s="9">
        <f t="shared" si="2"/>
        <v>41362368</v>
      </c>
      <c r="F15" s="9">
        <f>F11+F14</f>
        <v>37863467</v>
      </c>
      <c r="G15" s="9">
        <f t="shared" si="2"/>
        <v>36189977</v>
      </c>
      <c r="H15" s="9">
        <f t="shared" si="2"/>
        <v>36231774</v>
      </c>
      <c r="I15" s="9">
        <f t="shared" si="2"/>
        <v>37829671</v>
      </c>
      <c r="J15" s="9">
        <f t="shared" si="2"/>
        <v>37933047</v>
      </c>
      <c r="K15" s="9">
        <f t="shared" si="2"/>
        <v>38698046</v>
      </c>
      <c r="L15" s="9">
        <f t="shared" si="2"/>
        <v>42621152</v>
      </c>
      <c r="M15" s="9">
        <f t="shared" si="2"/>
        <v>42390919</v>
      </c>
      <c r="N15" s="9">
        <f t="shared" si="2"/>
        <v>44808641</v>
      </c>
    </row>
  </sheetData>
  <mergeCells count="7">
    <mergeCell ref="A15:B15"/>
    <mergeCell ref="A2:N2"/>
    <mergeCell ref="A4:A10"/>
    <mergeCell ref="B4:N4"/>
    <mergeCell ref="B9:N9"/>
    <mergeCell ref="A11:B11"/>
    <mergeCell ref="A14:B1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T23"/>
  <sheetViews>
    <sheetView topLeftCell="A7" zoomScale="70" zoomScaleNormal="70" workbookViewId="0">
      <selection activeCell="Y29" sqref="Y29:Y34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16" style="1" customWidth="1"/>
    <col min="5" max="6" width="16" style="1" hidden="1" customWidth="1"/>
    <col min="7" max="7" width="16.7109375" style="1" customWidth="1"/>
    <col min="8" max="9" width="16.7109375" style="1" hidden="1" customWidth="1"/>
    <col min="10" max="10" width="16.42578125" style="1" customWidth="1"/>
    <col min="11" max="12" width="16.42578125" style="1" hidden="1" customWidth="1"/>
    <col min="13" max="13" width="15.85546875" style="1" customWidth="1"/>
    <col min="14" max="16" width="15.85546875" style="1" hidden="1" customWidth="1"/>
    <col min="17" max="17" width="17.85546875" style="1" customWidth="1"/>
    <col min="18" max="20" width="17.85546875" style="1" hidden="1" customWidth="1"/>
    <col min="21" max="21" width="18.42578125" style="1" customWidth="1"/>
    <col min="22" max="24" width="18.42578125" style="1" hidden="1" customWidth="1"/>
    <col min="25" max="25" width="19.85546875" style="1" customWidth="1"/>
    <col min="26" max="28" width="19.85546875" style="1" hidden="1" customWidth="1"/>
    <col min="29" max="29" width="21" style="1" customWidth="1"/>
    <col min="30" max="32" width="21" style="1" hidden="1" customWidth="1"/>
    <col min="33" max="33" width="22.140625" style="1" customWidth="1"/>
    <col min="34" max="36" width="22.140625" style="1" hidden="1" customWidth="1"/>
    <col min="37" max="37" width="22.42578125" style="1" customWidth="1"/>
    <col min="38" max="40" width="22.42578125" style="1" hidden="1" customWidth="1"/>
    <col min="41" max="41" width="24.28515625" style="1" customWidth="1"/>
    <col min="42" max="44" width="24.28515625" style="1" hidden="1" customWidth="1"/>
    <col min="45" max="45" width="24.28515625" style="1" customWidth="1"/>
    <col min="46" max="46" width="9.140625" style="14"/>
    <col min="47" max="48" width="9.140625" style="1"/>
    <col min="49" max="49" width="10" style="1" bestFit="1" customWidth="1"/>
    <col min="50" max="16384" width="9.140625" style="1"/>
  </cols>
  <sheetData>
    <row r="2" spans="1:46" ht="42.75" customHeight="1" x14ac:dyDescent="0.25">
      <c r="A2" s="46" t="s">
        <v>38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</row>
    <row r="3" spans="1:46" s="2" customFormat="1" ht="33" customHeight="1" x14ac:dyDescent="0.25">
      <c r="A3" s="6" t="s">
        <v>0</v>
      </c>
      <c r="B3" s="7" t="s">
        <v>1</v>
      </c>
      <c r="C3" s="7"/>
      <c r="D3" s="8" t="s">
        <v>2</v>
      </c>
      <c r="E3" s="8"/>
      <c r="F3" s="8"/>
      <c r="G3" s="8" t="s">
        <v>3</v>
      </c>
      <c r="H3" s="8"/>
      <c r="I3" s="8"/>
      <c r="J3" s="8" t="s">
        <v>4</v>
      </c>
      <c r="K3" s="8"/>
      <c r="L3" s="8"/>
      <c r="M3" s="8" t="s">
        <v>5</v>
      </c>
      <c r="N3" s="8"/>
      <c r="O3" s="8"/>
      <c r="P3" s="8"/>
      <c r="Q3" s="8" t="s">
        <v>6</v>
      </c>
      <c r="R3" s="8"/>
      <c r="S3" s="8"/>
      <c r="T3" s="8"/>
      <c r="U3" s="8" t="s">
        <v>7</v>
      </c>
      <c r="V3" s="8"/>
      <c r="W3" s="8"/>
      <c r="X3" s="8"/>
      <c r="Y3" s="8" t="s">
        <v>8</v>
      </c>
      <c r="Z3" s="8"/>
      <c r="AA3" s="8"/>
      <c r="AB3" s="8"/>
      <c r="AC3" s="8" t="s">
        <v>9</v>
      </c>
      <c r="AD3" s="8"/>
      <c r="AE3" s="8"/>
      <c r="AF3" s="8"/>
      <c r="AG3" s="8" t="s">
        <v>10</v>
      </c>
      <c r="AH3" s="8"/>
      <c r="AI3" s="8"/>
      <c r="AJ3" s="8"/>
      <c r="AK3" s="8" t="s">
        <v>11</v>
      </c>
      <c r="AL3" s="8"/>
      <c r="AM3" s="8"/>
      <c r="AN3" s="8"/>
      <c r="AO3" s="8" t="s">
        <v>12</v>
      </c>
      <c r="AP3" s="8"/>
      <c r="AQ3" s="8"/>
      <c r="AR3" s="8"/>
      <c r="AS3" s="8" t="s">
        <v>13</v>
      </c>
      <c r="AT3" s="15"/>
    </row>
    <row r="4" spans="1:46" ht="22.5" customHeight="1" x14ac:dyDescent="0.25">
      <c r="A4" s="47" t="s">
        <v>36</v>
      </c>
      <c r="B4" s="49" t="s">
        <v>31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1"/>
    </row>
    <row r="5" spans="1:46" ht="22.5" customHeight="1" x14ac:dyDescent="0.25">
      <c r="A5" s="48"/>
      <c r="B5" s="5" t="s">
        <v>14</v>
      </c>
      <c r="C5" s="5">
        <v>0.96744512055442777</v>
      </c>
      <c r="D5" s="3">
        <f>46342738+4271271</f>
        <v>50614009</v>
      </c>
      <c r="E5" s="3"/>
      <c r="F5" s="3">
        <v>0.92705423292330214</v>
      </c>
      <c r="G5" s="3">
        <f>39422238+3430934</f>
        <v>42853172</v>
      </c>
      <c r="H5" s="3"/>
      <c r="I5" s="3">
        <v>1.0954019367081356</v>
      </c>
      <c r="J5" s="3">
        <f>3932789+47030125</f>
        <v>50962914</v>
      </c>
      <c r="K5" s="3"/>
      <c r="L5" s="3">
        <v>0.90211324656142267</v>
      </c>
      <c r="M5" s="3">
        <f>39996520+2107802</f>
        <v>42104322</v>
      </c>
      <c r="N5" s="3"/>
      <c r="O5" s="3"/>
      <c r="P5" s="3">
        <v>0.96161343231692753</v>
      </c>
      <c r="Q5" s="3">
        <f>39685107+1913112</f>
        <v>41598219</v>
      </c>
      <c r="R5" s="3"/>
      <c r="S5" s="3"/>
      <c r="T5" s="3">
        <v>0.96913546805168105</v>
      </c>
      <c r="U5" s="3">
        <f>35634466+1436765</f>
        <v>37071231</v>
      </c>
      <c r="V5" s="3"/>
      <c r="W5" s="3"/>
      <c r="X5" s="3">
        <v>1.0181787685468642</v>
      </c>
      <c r="Y5" s="3">
        <f>38395402+1725801</f>
        <v>40121203</v>
      </c>
      <c r="Z5" s="3"/>
      <c r="AA5" s="3"/>
      <c r="AB5" s="3">
        <v>0.99983439076406322</v>
      </c>
      <c r="AC5" s="3">
        <f>37100523+2519490</f>
        <v>39620013</v>
      </c>
      <c r="AD5" s="3"/>
      <c r="AE5" s="3"/>
      <c r="AF5" s="3">
        <v>1.0041639092563241</v>
      </c>
      <c r="AG5" s="17">
        <f>35126481+161844+184672+1130239</f>
        <v>36603236</v>
      </c>
      <c r="AH5" s="17"/>
      <c r="AI5" s="17"/>
      <c r="AJ5" s="17">
        <v>1.1171526562277754</v>
      </c>
      <c r="AK5" s="3">
        <f>38358437+216915+303430+2720881</f>
        <v>41599663</v>
      </c>
      <c r="AL5" s="3"/>
      <c r="AM5" s="3"/>
      <c r="AN5" s="3">
        <v>1.066078440405674</v>
      </c>
      <c r="AO5" s="3">
        <f>39516459+205817+270062+2908011</f>
        <v>42900349</v>
      </c>
      <c r="AP5" s="3"/>
      <c r="AQ5" s="3"/>
      <c r="AR5" s="3">
        <v>1.0664583575638427</v>
      </c>
      <c r="AS5" s="3">
        <f>42670921+262646+243278+4267828</f>
        <v>47444673</v>
      </c>
    </row>
    <row r="6" spans="1:46" ht="22.5" customHeight="1" x14ac:dyDescent="0.25">
      <c r="A6" s="48"/>
      <c r="B6" s="5" t="s">
        <v>15</v>
      </c>
      <c r="C6" s="5">
        <v>1.0500507969206654</v>
      </c>
      <c r="D6" s="3">
        <f>124381+983776</f>
        <v>1108157</v>
      </c>
      <c r="E6" s="3"/>
      <c r="F6" s="3">
        <v>0.98686653907190391</v>
      </c>
      <c r="G6" s="3">
        <f>91354+808234</f>
        <v>899588</v>
      </c>
      <c r="H6" s="3"/>
      <c r="I6" s="3">
        <v>1.1398178675306405</v>
      </c>
      <c r="J6" s="3">
        <f>843841+75235</f>
        <v>919076</v>
      </c>
      <c r="K6" s="3"/>
      <c r="L6" s="3">
        <v>0.87448114582895897</v>
      </c>
      <c r="M6" s="3">
        <f>395671+59263</f>
        <v>454934</v>
      </c>
      <c r="N6" s="3"/>
      <c r="O6" s="3"/>
      <c r="P6" s="3">
        <v>0.90606063908627232</v>
      </c>
      <c r="Q6" s="3">
        <f>60490+457460</f>
        <v>517950</v>
      </c>
      <c r="R6" s="3"/>
      <c r="S6" s="3"/>
      <c r="T6" s="3">
        <v>0.90956890174592386</v>
      </c>
      <c r="U6" s="3">
        <f>48838+384718</f>
        <v>433556</v>
      </c>
      <c r="V6" s="3"/>
      <c r="W6" s="3"/>
      <c r="X6" s="3">
        <v>1.0458131042884748</v>
      </c>
      <c r="Y6" s="3">
        <f>43087+510745</f>
        <v>553832</v>
      </c>
      <c r="Z6" s="3"/>
      <c r="AA6" s="3"/>
      <c r="AB6" s="3">
        <v>1.1077282243348141</v>
      </c>
      <c r="AC6" s="3">
        <f>48488+464688</f>
        <v>513176</v>
      </c>
      <c r="AD6" s="3"/>
      <c r="AE6" s="3"/>
      <c r="AF6" s="3">
        <v>0.95962391037888639</v>
      </c>
      <c r="AG6" s="17">
        <f>31772+2148+195754+228961</f>
        <v>458635</v>
      </c>
      <c r="AH6" s="17"/>
      <c r="AI6" s="17"/>
      <c r="AJ6" s="17">
        <v>1.2239295218772059</v>
      </c>
      <c r="AK6" s="3">
        <f>65380+221972+501402</f>
        <v>788754</v>
      </c>
      <c r="AL6" s="3"/>
      <c r="AM6" s="3"/>
      <c r="AN6" s="3">
        <v>1.0453373635371843</v>
      </c>
      <c r="AO6" s="3">
        <f>95082+83715+262322+611057</f>
        <v>1052176</v>
      </c>
      <c r="AP6" s="3"/>
      <c r="AQ6" s="3"/>
      <c r="AR6" s="3">
        <v>1.1175950332157185</v>
      </c>
      <c r="AS6" s="3">
        <f>148547+21991+413123+953675</f>
        <v>1537336</v>
      </c>
    </row>
    <row r="7" spans="1:46" ht="22.5" customHeight="1" x14ac:dyDescent="0.25">
      <c r="A7" s="48"/>
      <c r="B7" s="5" t="s">
        <v>16</v>
      </c>
      <c r="C7" s="5">
        <v>0.81133809627964981</v>
      </c>
      <c r="D7" s="3">
        <f>518122+1757978+1205</f>
        <v>2277305</v>
      </c>
      <c r="E7" s="3"/>
      <c r="F7" s="3">
        <v>1.1532643725235641</v>
      </c>
      <c r="G7" s="3">
        <f>519756+1469863</f>
        <v>1989619</v>
      </c>
      <c r="H7" s="3"/>
      <c r="I7" s="3">
        <v>0.98953181759255937</v>
      </c>
      <c r="J7" s="3">
        <f>1730913+524911</f>
        <v>2255824</v>
      </c>
      <c r="K7" s="3"/>
      <c r="L7" s="3">
        <v>0.85486330184254888</v>
      </c>
      <c r="M7" s="3">
        <f>557331+1110189+925</f>
        <v>1668445</v>
      </c>
      <c r="N7" s="3"/>
      <c r="O7" s="3"/>
      <c r="P7" s="3">
        <v>0.69008684339129012</v>
      </c>
      <c r="Q7" s="3">
        <f>426015+923256+1433</f>
        <v>1350704</v>
      </c>
      <c r="R7" s="3"/>
      <c r="S7" s="3"/>
      <c r="T7" s="3">
        <v>1.1517837420251062</v>
      </c>
      <c r="U7" s="3">
        <f>368074+864601</f>
        <v>1232675</v>
      </c>
      <c r="V7" s="3"/>
      <c r="W7" s="3"/>
      <c r="X7" s="3">
        <v>0.14142755683639169</v>
      </c>
      <c r="Y7" s="3">
        <f>336330+1079286</f>
        <v>1415616</v>
      </c>
      <c r="Z7" s="3"/>
      <c r="AA7" s="3"/>
      <c r="AB7" s="3">
        <v>6.5691914430746916</v>
      </c>
      <c r="AC7" s="3">
        <f>252951+950584</f>
        <v>1203535</v>
      </c>
      <c r="AD7" s="3"/>
      <c r="AE7" s="3"/>
      <c r="AF7" s="3">
        <v>1.1004871996260037</v>
      </c>
      <c r="AG7" s="17">
        <f>300120+58638+573984</f>
        <v>932742</v>
      </c>
      <c r="AH7" s="17"/>
      <c r="AI7" s="17"/>
      <c r="AJ7" s="17">
        <v>1.0972372963983139</v>
      </c>
      <c r="AK7" s="3">
        <f>351376+61571+670329</f>
        <v>1083276</v>
      </c>
      <c r="AL7" s="3"/>
      <c r="AM7" s="3"/>
      <c r="AN7" s="3">
        <v>1.1605141425776608</v>
      </c>
      <c r="AO7" s="3">
        <f>506400+881985</f>
        <v>1388385</v>
      </c>
      <c r="AP7" s="3"/>
      <c r="AQ7" s="3"/>
      <c r="AR7" s="3">
        <v>0.96038883287118726</v>
      </c>
      <c r="AS7" s="3">
        <f>398712+93683+817670</f>
        <v>1310065</v>
      </c>
    </row>
    <row r="8" spans="1:46" ht="22.5" customHeight="1" x14ac:dyDescent="0.25">
      <c r="A8" s="48"/>
      <c r="B8" s="5" t="s">
        <v>17</v>
      </c>
      <c r="C8" s="5">
        <v>0.84512111793730649</v>
      </c>
      <c r="D8" s="3">
        <f>254520+311605</f>
        <v>566125</v>
      </c>
      <c r="E8" s="3"/>
      <c r="F8" s="3">
        <v>0.94667749453985417</v>
      </c>
      <c r="G8" s="3">
        <f>238861+301545</f>
        <v>540406</v>
      </c>
      <c r="H8" s="3"/>
      <c r="I8" s="3">
        <v>0.92977112506400672</v>
      </c>
      <c r="J8" s="3">
        <f>265985+217589</f>
        <v>483574</v>
      </c>
      <c r="K8" s="3"/>
      <c r="L8" s="3">
        <v>0.86531266702298237</v>
      </c>
      <c r="M8" s="3">
        <f>173101+255378</f>
        <v>428479</v>
      </c>
      <c r="N8" s="3"/>
      <c r="O8" s="3"/>
      <c r="P8" s="3">
        <v>0.90575790811114221</v>
      </c>
      <c r="Q8" s="3">
        <f>165178+209878</f>
        <v>375056</v>
      </c>
      <c r="R8" s="3"/>
      <c r="S8" s="3"/>
      <c r="T8" s="3">
        <v>1.2989065753275477</v>
      </c>
      <c r="U8" s="3">
        <f>292326+203341</f>
        <v>495667</v>
      </c>
      <c r="V8" s="3"/>
      <c r="W8" s="3"/>
      <c r="X8" s="3">
        <v>0.22197713135894345</v>
      </c>
      <c r="Y8" s="3">
        <f>157773+202155</f>
        <v>359928</v>
      </c>
      <c r="Z8" s="3"/>
      <c r="AA8" s="3"/>
      <c r="AB8" s="3">
        <v>4.0527972373852279</v>
      </c>
      <c r="AC8" s="3">
        <f>167791+233871</f>
        <v>401662</v>
      </c>
      <c r="AD8" s="3"/>
      <c r="AE8" s="3"/>
      <c r="AF8" s="3">
        <v>0.88787952079917098</v>
      </c>
      <c r="AG8" s="17">
        <f>168238+152918</f>
        <v>321156</v>
      </c>
      <c r="AH8" s="17"/>
      <c r="AI8" s="17"/>
      <c r="AJ8" s="17">
        <v>1.1517301530971815</v>
      </c>
      <c r="AK8" s="3">
        <f>212569+169401</f>
        <v>381970</v>
      </c>
      <c r="AL8" s="3"/>
      <c r="AM8" s="3"/>
      <c r="AN8" s="3">
        <v>1.1176020015145893</v>
      </c>
      <c r="AO8" s="3">
        <f>217137+191736</f>
        <v>408873</v>
      </c>
      <c r="AP8" s="3"/>
      <c r="AQ8" s="3"/>
      <c r="AR8" s="3">
        <v>1.0748920488964135</v>
      </c>
      <c r="AS8" s="3">
        <f>240642+200350</f>
        <v>440992</v>
      </c>
    </row>
    <row r="9" spans="1:46" ht="22.5" customHeight="1" x14ac:dyDescent="0.25">
      <c r="A9" s="48"/>
      <c r="B9" s="49" t="s">
        <v>32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1"/>
    </row>
    <row r="10" spans="1:46" ht="22.5" customHeight="1" x14ac:dyDescent="0.25">
      <c r="A10" s="48"/>
      <c r="B10" s="31"/>
      <c r="C10" s="31">
        <v>1.4107555761089965</v>
      </c>
      <c r="D10" s="32">
        <f>771993+84318</f>
        <v>856311</v>
      </c>
      <c r="E10" s="32"/>
      <c r="F10" s="32">
        <v>0.93998650957252994</v>
      </c>
      <c r="G10" s="32">
        <f>801572+77996</f>
        <v>879568</v>
      </c>
      <c r="H10" s="32"/>
      <c r="I10" s="32">
        <v>0.99390890008114763</v>
      </c>
      <c r="J10" s="32">
        <f>100100+778819</f>
        <v>878919</v>
      </c>
      <c r="K10" s="32"/>
      <c r="L10" s="32">
        <v>1.0286280112885895</v>
      </c>
      <c r="M10" s="32">
        <f>796195+95622</f>
        <v>891817</v>
      </c>
      <c r="N10" s="32"/>
      <c r="O10" s="32"/>
      <c r="P10" s="32">
        <v>1.06406715842711</v>
      </c>
      <c r="Q10" s="32">
        <f>731308+123248</f>
        <v>854556</v>
      </c>
      <c r="R10" s="32"/>
      <c r="S10" s="32"/>
      <c r="T10" s="32">
        <v>1.2164725537066405</v>
      </c>
      <c r="U10" s="32">
        <f>574186+174799</f>
        <v>748985</v>
      </c>
      <c r="V10" s="32"/>
      <c r="W10" s="32"/>
      <c r="X10" s="32">
        <v>0.40722684582804919</v>
      </c>
      <c r="Y10" s="32">
        <f>630781+145971</f>
        <v>776752</v>
      </c>
      <c r="Z10" s="32"/>
      <c r="AA10" s="32"/>
      <c r="AB10" s="32">
        <v>2.2621715039495749</v>
      </c>
      <c r="AC10" s="32">
        <f>630766+136407</f>
        <v>767173</v>
      </c>
      <c r="AD10" s="32"/>
      <c r="AE10" s="32"/>
      <c r="AF10" s="32">
        <v>0.99942238108270542</v>
      </c>
      <c r="AG10" s="33">
        <f>642422+82048+23027+683+16299+21199</f>
        <v>785678</v>
      </c>
      <c r="AH10" s="33"/>
      <c r="AI10" s="33"/>
      <c r="AJ10" s="33">
        <v>0.80332818221474245</v>
      </c>
      <c r="AK10" s="32">
        <f>663389+49028+666+11779+20267+14712</f>
        <v>759841</v>
      </c>
      <c r="AL10" s="32"/>
      <c r="AM10" s="32"/>
      <c r="AN10" s="32">
        <v>1.1711275289877541</v>
      </c>
      <c r="AO10" s="32">
        <f>801061+24251+1890+895+11740+8750</f>
        <v>848587</v>
      </c>
      <c r="AP10" s="32"/>
      <c r="AQ10" s="32"/>
      <c r="AR10" s="32">
        <v>1.0580606188257113</v>
      </c>
      <c r="AS10" s="32">
        <f>859395+12242+530+666+4344+5438</f>
        <v>882615</v>
      </c>
    </row>
    <row r="11" spans="1:46" ht="22.5" customHeight="1" thickBot="1" x14ac:dyDescent="0.3">
      <c r="A11" s="62" t="s">
        <v>18</v>
      </c>
      <c r="B11" s="63"/>
      <c r="C11" s="34"/>
      <c r="D11" s="35">
        <f>SUM(D5:D8)+D10</f>
        <v>55421907</v>
      </c>
      <c r="E11" s="35">
        <f t="shared" ref="E11:AS11" si="0">SUM(E5:E8)+E10</f>
        <v>0</v>
      </c>
      <c r="F11" s="35">
        <f t="shared" si="0"/>
        <v>4.9538491486311544</v>
      </c>
      <c r="G11" s="35">
        <f t="shared" si="0"/>
        <v>47162353</v>
      </c>
      <c r="H11" s="35">
        <f t="shared" si="0"/>
        <v>0</v>
      </c>
      <c r="I11" s="35">
        <f t="shared" si="0"/>
        <v>5.1484316469764897</v>
      </c>
      <c r="J11" s="35">
        <f t="shared" si="0"/>
        <v>55500307</v>
      </c>
      <c r="K11" s="35">
        <f t="shared" si="0"/>
        <v>0</v>
      </c>
      <c r="L11" s="35">
        <f t="shared" si="0"/>
        <v>4.5253983725445028</v>
      </c>
      <c r="M11" s="35">
        <f t="shared" si="0"/>
        <v>45547997</v>
      </c>
      <c r="N11" s="35">
        <f t="shared" si="0"/>
        <v>0</v>
      </c>
      <c r="O11" s="35">
        <f t="shared" si="0"/>
        <v>0</v>
      </c>
      <c r="P11" s="35">
        <f t="shared" si="0"/>
        <v>4.5275859813327424</v>
      </c>
      <c r="Q11" s="35">
        <f t="shared" si="0"/>
        <v>44696485</v>
      </c>
      <c r="R11" s="35">
        <f t="shared" si="0"/>
        <v>0</v>
      </c>
      <c r="S11" s="35">
        <f t="shared" si="0"/>
        <v>0</v>
      </c>
      <c r="T11" s="35">
        <f t="shared" si="0"/>
        <v>5.5458672408569001</v>
      </c>
      <c r="U11" s="35">
        <f t="shared" si="0"/>
        <v>39982114</v>
      </c>
      <c r="V11" s="35">
        <f t="shared" si="0"/>
        <v>0</v>
      </c>
      <c r="W11" s="35">
        <f t="shared" si="0"/>
        <v>0</v>
      </c>
      <c r="X11" s="35">
        <f t="shared" si="0"/>
        <v>2.8346234068587233</v>
      </c>
      <c r="Y11" s="35">
        <f t="shared" si="0"/>
        <v>43227331</v>
      </c>
      <c r="Z11" s="35">
        <f t="shared" si="0"/>
        <v>0</v>
      </c>
      <c r="AA11" s="35">
        <f t="shared" si="0"/>
        <v>0</v>
      </c>
      <c r="AB11" s="35"/>
      <c r="AC11" s="35">
        <f t="shared" si="0"/>
        <v>42505559</v>
      </c>
      <c r="AD11" s="35">
        <f t="shared" si="0"/>
        <v>0</v>
      </c>
      <c r="AE11" s="35">
        <f t="shared" si="0"/>
        <v>0</v>
      </c>
      <c r="AF11" s="35"/>
      <c r="AG11" s="35">
        <f t="shared" si="0"/>
        <v>39101447</v>
      </c>
      <c r="AH11" s="35">
        <f t="shared" si="0"/>
        <v>0</v>
      </c>
      <c r="AI11" s="35">
        <f t="shared" si="0"/>
        <v>0</v>
      </c>
      <c r="AJ11" s="35"/>
      <c r="AK11" s="35">
        <f t="shared" si="0"/>
        <v>44613504</v>
      </c>
      <c r="AL11" s="35">
        <f t="shared" si="0"/>
        <v>0</v>
      </c>
      <c r="AM11" s="35">
        <f t="shared" si="0"/>
        <v>0</v>
      </c>
      <c r="AN11" s="35"/>
      <c r="AO11" s="35">
        <f t="shared" si="0"/>
        <v>46598370</v>
      </c>
      <c r="AP11" s="35">
        <f t="shared" si="0"/>
        <v>0</v>
      </c>
      <c r="AQ11" s="35">
        <f t="shared" si="0"/>
        <v>0</v>
      </c>
      <c r="AR11" s="35"/>
      <c r="AS11" s="35">
        <f t="shared" si="0"/>
        <v>51615681</v>
      </c>
    </row>
    <row r="12" spans="1:46" ht="22.5" customHeight="1" thickTop="1" x14ac:dyDescent="0.25">
      <c r="A12" s="26"/>
      <c r="B12" s="59" t="s">
        <v>31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1"/>
    </row>
    <row r="13" spans="1:46" ht="22.5" customHeight="1" x14ac:dyDescent="0.25">
      <c r="A13" s="47" t="s">
        <v>40</v>
      </c>
      <c r="B13" s="20" t="s">
        <v>15</v>
      </c>
      <c r="C13" s="21"/>
      <c r="D13" s="22">
        <v>0</v>
      </c>
      <c r="E13" s="22" t="s">
        <v>39</v>
      </c>
      <c r="F13" s="22" t="s">
        <v>39</v>
      </c>
      <c r="G13" s="22">
        <v>0</v>
      </c>
      <c r="H13" s="22" t="s">
        <v>39</v>
      </c>
      <c r="I13" s="22" t="s">
        <v>39</v>
      </c>
      <c r="J13" s="22">
        <v>195</v>
      </c>
      <c r="K13" s="22" t="s">
        <v>39</v>
      </c>
      <c r="L13" s="22" t="s">
        <v>39</v>
      </c>
      <c r="M13" s="22">
        <v>0</v>
      </c>
      <c r="N13" s="22"/>
      <c r="O13" s="22"/>
      <c r="P13" s="22"/>
      <c r="Q13" s="22">
        <v>96</v>
      </c>
      <c r="R13" s="22"/>
      <c r="S13" s="22"/>
      <c r="T13" s="22"/>
      <c r="U13" s="22"/>
      <c r="V13" s="22"/>
      <c r="W13" s="22"/>
      <c r="X13" s="22"/>
      <c r="Y13" s="22">
        <v>72</v>
      </c>
      <c r="Z13" s="22"/>
      <c r="AA13" s="22"/>
      <c r="AB13" s="22"/>
      <c r="AC13" s="22">
        <v>69</v>
      </c>
      <c r="AD13" s="22"/>
      <c r="AE13" s="22"/>
      <c r="AF13" s="22">
        <f>AC13/Y13</f>
        <v>0.95833333333333337</v>
      </c>
      <c r="AG13" s="23">
        <v>73</v>
      </c>
      <c r="AH13" s="23"/>
      <c r="AI13" s="23"/>
      <c r="AJ13" s="23">
        <f>AG13/AC13</f>
        <v>1.0579710144927537</v>
      </c>
      <c r="AK13" s="22">
        <v>96</v>
      </c>
      <c r="AL13" s="22"/>
      <c r="AM13" s="22"/>
      <c r="AN13" s="22">
        <f>AK13/AG13</f>
        <v>1.3150684931506849</v>
      </c>
      <c r="AO13" s="22">
        <f>11</f>
        <v>11</v>
      </c>
      <c r="AP13" s="22"/>
      <c r="AQ13" s="22"/>
      <c r="AR13" s="22">
        <f>AO13/AK13</f>
        <v>0.11458333333333333</v>
      </c>
      <c r="AS13" s="22">
        <v>0</v>
      </c>
    </row>
    <row r="14" spans="1:46" ht="22.5" customHeight="1" x14ac:dyDescent="0.25">
      <c r="A14" s="48"/>
      <c r="B14" s="18" t="s">
        <v>17</v>
      </c>
      <c r="C14" s="19"/>
      <c r="D14" s="22">
        <v>8971</v>
      </c>
      <c r="E14" s="22" t="s">
        <v>39</v>
      </c>
      <c r="F14" s="22" t="s">
        <v>39</v>
      </c>
      <c r="G14" s="22">
        <v>1403</v>
      </c>
      <c r="H14" s="22" t="s">
        <v>39</v>
      </c>
      <c r="I14" s="22" t="s">
        <v>39</v>
      </c>
      <c r="J14" s="22">
        <v>1206</v>
      </c>
      <c r="K14" s="22" t="s">
        <v>39</v>
      </c>
      <c r="L14" s="22" t="s">
        <v>39</v>
      </c>
      <c r="M14" s="22">
        <v>1404</v>
      </c>
      <c r="N14" s="3"/>
      <c r="O14" s="3"/>
      <c r="P14" s="3"/>
      <c r="Q14" s="3">
        <v>1671</v>
      </c>
      <c r="R14" s="3"/>
      <c r="S14" s="3"/>
      <c r="T14" s="3"/>
      <c r="U14" s="3">
        <v>1854</v>
      </c>
      <c r="V14" s="3"/>
      <c r="W14" s="3"/>
      <c r="X14" s="3">
        <f>U14/Q14</f>
        <v>1.1095152603231597</v>
      </c>
      <c r="Y14" s="3">
        <v>1355</v>
      </c>
      <c r="Z14" s="3"/>
      <c r="AA14" s="3"/>
      <c r="AB14" s="3">
        <f>Y14/U14</f>
        <v>0.73085221143473567</v>
      </c>
      <c r="AC14" s="3">
        <v>1689</v>
      </c>
      <c r="AD14" s="3"/>
      <c r="AE14" s="3"/>
      <c r="AF14" s="3">
        <f>AC14/Y14</f>
        <v>1.2464944649446494</v>
      </c>
      <c r="AG14" s="17">
        <v>974</v>
      </c>
      <c r="AH14" s="17"/>
      <c r="AI14" s="17"/>
      <c r="AJ14" s="17">
        <f>AG14/AC14</f>
        <v>0.57667258732978088</v>
      </c>
      <c r="AK14" s="3">
        <v>3427</v>
      </c>
      <c r="AL14" s="3"/>
      <c r="AM14" s="3"/>
      <c r="AN14" s="3">
        <f>AK14/AG14</f>
        <v>3.5184804928131417</v>
      </c>
      <c r="AO14" s="3">
        <v>1783</v>
      </c>
      <c r="AP14" s="3"/>
      <c r="AQ14" s="3"/>
      <c r="AR14" s="3"/>
      <c r="AS14" s="3">
        <v>2126</v>
      </c>
    </row>
    <row r="15" spans="1:46" ht="22.5" customHeight="1" x14ac:dyDescent="0.25">
      <c r="A15" s="48"/>
      <c r="B15" s="50" t="s">
        <v>32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1"/>
    </row>
    <row r="16" spans="1:46" ht="22.5" customHeight="1" x14ac:dyDescent="0.25">
      <c r="A16" s="58"/>
      <c r="B16" s="18"/>
      <c r="C16" s="19"/>
      <c r="D16" s="22">
        <f>15327+85796</f>
        <v>101123</v>
      </c>
      <c r="E16" s="22" t="s">
        <v>39</v>
      </c>
      <c r="F16" s="22" t="s">
        <v>39</v>
      </c>
      <c r="G16" s="22">
        <f>2755+80534</f>
        <v>83289</v>
      </c>
      <c r="H16" s="22" t="s">
        <v>39</v>
      </c>
      <c r="I16" s="22" t="s">
        <v>39</v>
      </c>
      <c r="J16" s="22">
        <f>19067+70872</f>
        <v>89939</v>
      </c>
      <c r="K16" s="22" t="s">
        <v>39</v>
      </c>
      <c r="L16" s="22" t="s">
        <v>39</v>
      </c>
      <c r="M16" s="22">
        <f>111336+46046</f>
        <v>157382</v>
      </c>
      <c r="N16" s="3"/>
      <c r="O16" s="3"/>
      <c r="P16" s="3"/>
      <c r="Q16" s="3">
        <v>62622</v>
      </c>
      <c r="R16" s="3"/>
      <c r="S16" s="3"/>
      <c r="T16" s="3"/>
      <c r="U16" s="3">
        <f>23568+21173</f>
        <v>44741</v>
      </c>
      <c r="V16" s="3"/>
      <c r="W16" s="3"/>
      <c r="X16" s="3">
        <f>U16/Q16</f>
        <v>0.71446137140302135</v>
      </c>
      <c r="Y16" s="3">
        <f>28291+50211</f>
        <v>78502</v>
      </c>
      <c r="Z16" s="3"/>
      <c r="AA16" s="3"/>
      <c r="AB16" s="3"/>
      <c r="AC16" s="3">
        <f>25010+21528</f>
        <v>46538</v>
      </c>
      <c r="AD16" s="3"/>
      <c r="AE16" s="3"/>
      <c r="AF16" s="3">
        <f>AC16/Y16</f>
        <v>0.59282566049272634</v>
      </c>
      <c r="AG16" s="17">
        <v>57499</v>
      </c>
      <c r="AH16" s="17"/>
      <c r="AI16" s="17"/>
      <c r="AJ16" s="17">
        <f>AG16/AC16</f>
        <v>1.235527955649147</v>
      </c>
      <c r="AK16" s="3">
        <f>30218+46203</f>
        <v>76421</v>
      </c>
      <c r="AL16" s="3"/>
      <c r="AM16" s="3"/>
      <c r="AN16" s="3">
        <f>AK16/AG16</f>
        <v>1.3290839840692881</v>
      </c>
      <c r="AO16" s="3">
        <f>119640</f>
        <v>119640</v>
      </c>
      <c r="AP16" s="3"/>
      <c r="AQ16" s="3"/>
      <c r="AR16" s="3">
        <f>AO16/AK16</f>
        <v>1.5655382682770442</v>
      </c>
      <c r="AS16" s="3">
        <v>128859</v>
      </c>
    </row>
    <row r="17" spans="1:46" ht="22.5" customHeight="1" thickBot="1" x14ac:dyDescent="0.3">
      <c r="A17" s="56" t="s">
        <v>18</v>
      </c>
      <c r="B17" s="57"/>
      <c r="C17" s="27"/>
      <c r="D17" s="28">
        <f t="shared" ref="D17:AS17" si="1">SUM(D13:D14,D16)</f>
        <v>110094</v>
      </c>
      <c r="E17" s="28">
        <f t="shared" si="1"/>
        <v>0</v>
      </c>
      <c r="F17" s="28">
        <f t="shared" si="1"/>
        <v>0</v>
      </c>
      <c r="G17" s="28">
        <f t="shared" si="1"/>
        <v>84692</v>
      </c>
      <c r="H17" s="28">
        <f t="shared" si="1"/>
        <v>0</v>
      </c>
      <c r="I17" s="28">
        <f t="shared" si="1"/>
        <v>0</v>
      </c>
      <c r="J17" s="28">
        <f t="shared" si="1"/>
        <v>91340</v>
      </c>
      <c r="K17" s="28">
        <f t="shared" si="1"/>
        <v>0</v>
      </c>
      <c r="L17" s="28">
        <f t="shared" si="1"/>
        <v>0</v>
      </c>
      <c r="M17" s="28">
        <f t="shared" si="1"/>
        <v>158786</v>
      </c>
      <c r="N17" s="28">
        <f t="shared" si="1"/>
        <v>0</v>
      </c>
      <c r="O17" s="28">
        <f t="shared" si="1"/>
        <v>0</v>
      </c>
      <c r="P17" s="28">
        <f t="shared" si="1"/>
        <v>0</v>
      </c>
      <c r="Q17" s="28">
        <f t="shared" si="1"/>
        <v>64389</v>
      </c>
      <c r="R17" s="28">
        <f t="shared" si="1"/>
        <v>0</v>
      </c>
      <c r="S17" s="28">
        <f t="shared" si="1"/>
        <v>0</v>
      </c>
      <c r="T17" s="28">
        <f t="shared" si="1"/>
        <v>0</v>
      </c>
      <c r="U17" s="28">
        <f t="shared" si="1"/>
        <v>46595</v>
      </c>
      <c r="V17" s="28">
        <f t="shared" si="1"/>
        <v>0</v>
      </c>
      <c r="W17" s="28">
        <f t="shared" si="1"/>
        <v>0</v>
      </c>
      <c r="X17" s="28">
        <f t="shared" si="1"/>
        <v>1.8239766317261812</v>
      </c>
      <c r="Y17" s="28">
        <f t="shared" si="1"/>
        <v>79929</v>
      </c>
      <c r="Z17" s="28">
        <f t="shared" si="1"/>
        <v>0</v>
      </c>
      <c r="AA17" s="28">
        <f t="shared" si="1"/>
        <v>0</v>
      </c>
      <c r="AB17" s="28"/>
      <c r="AC17" s="28">
        <f t="shared" si="1"/>
        <v>48296</v>
      </c>
      <c r="AD17" s="28">
        <f t="shared" si="1"/>
        <v>0</v>
      </c>
      <c r="AE17" s="28">
        <f t="shared" si="1"/>
        <v>0</v>
      </c>
      <c r="AF17" s="28"/>
      <c r="AG17" s="28">
        <f t="shared" si="1"/>
        <v>58546</v>
      </c>
      <c r="AH17" s="28">
        <f t="shared" si="1"/>
        <v>0</v>
      </c>
      <c r="AI17" s="28">
        <f t="shared" si="1"/>
        <v>0</v>
      </c>
      <c r="AJ17" s="28"/>
      <c r="AK17" s="28">
        <f t="shared" si="1"/>
        <v>79944</v>
      </c>
      <c r="AL17" s="28">
        <f t="shared" si="1"/>
        <v>0</v>
      </c>
      <c r="AM17" s="28">
        <f t="shared" si="1"/>
        <v>0</v>
      </c>
      <c r="AN17" s="28"/>
      <c r="AO17" s="28">
        <f t="shared" si="1"/>
        <v>121434</v>
      </c>
      <c r="AP17" s="28">
        <f t="shared" si="1"/>
        <v>0</v>
      </c>
      <c r="AQ17" s="28">
        <f t="shared" si="1"/>
        <v>0</v>
      </c>
      <c r="AR17" s="28"/>
      <c r="AS17" s="28">
        <f t="shared" si="1"/>
        <v>130985</v>
      </c>
    </row>
    <row r="18" spans="1:46" ht="22.5" customHeight="1" thickTop="1" x14ac:dyDescent="0.25">
      <c r="A18" s="24"/>
      <c r="B18" s="52" t="s">
        <v>31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39"/>
      <c r="W18" s="39"/>
      <c r="X18" s="39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</row>
    <row r="19" spans="1:46" ht="22.5" customHeight="1" x14ac:dyDescent="0.25">
      <c r="A19" s="48" t="s">
        <v>41</v>
      </c>
      <c r="B19" s="18" t="s">
        <v>17</v>
      </c>
      <c r="C19" s="19"/>
      <c r="D19" s="22">
        <v>12</v>
      </c>
      <c r="E19" s="22" t="s">
        <v>39</v>
      </c>
      <c r="F19" s="22" t="s">
        <v>39</v>
      </c>
      <c r="G19" s="22">
        <v>541</v>
      </c>
      <c r="H19" s="22" t="s">
        <v>39</v>
      </c>
      <c r="I19" s="22" t="s">
        <v>39</v>
      </c>
      <c r="J19" s="22">
        <v>497</v>
      </c>
      <c r="K19" s="22" t="s">
        <v>39</v>
      </c>
      <c r="L19" s="22" t="s">
        <v>39</v>
      </c>
      <c r="M19" s="22">
        <v>581</v>
      </c>
      <c r="N19" s="3"/>
      <c r="O19" s="3"/>
      <c r="P19" s="3"/>
      <c r="Q19" s="3">
        <v>545</v>
      </c>
      <c r="R19" s="3"/>
      <c r="S19" s="3"/>
      <c r="T19" s="3"/>
      <c r="U19" s="3">
        <v>1003</v>
      </c>
      <c r="V19" s="3"/>
      <c r="W19" s="3"/>
      <c r="X19" s="25">
        <f>U19/Q19</f>
        <v>1.8403669724770642</v>
      </c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</row>
    <row r="20" spans="1:46" ht="22.5" customHeight="1" x14ac:dyDescent="0.25">
      <c r="A20" s="48"/>
      <c r="B20" s="49" t="s">
        <v>32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36"/>
      <c r="W20" s="36"/>
      <c r="X20" s="36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</row>
    <row r="21" spans="1:46" ht="22.5" customHeight="1" x14ac:dyDescent="0.25">
      <c r="A21" s="58"/>
      <c r="B21" s="18"/>
      <c r="C21" s="19"/>
      <c r="D21" s="22">
        <v>19957</v>
      </c>
      <c r="E21" s="22" t="s">
        <v>39</v>
      </c>
      <c r="F21" s="22" t="s">
        <v>39</v>
      </c>
      <c r="G21" s="22">
        <v>21758</v>
      </c>
      <c r="H21" s="22" t="s">
        <v>39</v>
      </c>
      <c r="I21" s="22" t="s">
        <v>39</v>
      </c>
      <c r="J21" s="22">
        <v>19079</v>
      </c>
      <c r="K21" s="22" t="s">
        <v>39</v>
      </c>
      <c r="L21" s="22" t="s">
        <v>39</v>
      </c>
      <c r="M21" s="22">
        <v>14456</v>
      </c>
      <c r="N21" s="3"/>
      <c r="O21" s="3"/>
      <c r="P21" s="3"/>
      <c r="Q21" s="3">
        <v>16621</v>
      </c>
      <c r="R21" s="3"/>
      <c r="S21" s="3"/>
      <c r="T21" s="3"/>
      <c r="U21" s="3">
        <v>17733</v>
      </c>
      <c r="V21" s="3"/>
      <c r="W21" s="3"/>
      <c r="X21" s="25">
        <f>U21/Q21</f>
        <v>1.0669033150833283</v>
      </c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</row>
    <row r="22" spans="1:46" ht="22.5" customHeight="1" thickBot="1" x14ac:dyDescent="0.3">
      <c r="A22" s="56" t="s">
        <v>18</v>
      </c>
      <c r="B22" s="57"/>
      <c r="C22" s="27"/>
      <c r="D22" s="28">
        <f>D19+D21</f>
        <v>19969</v>
      </c>
      <c r="E22" s="28" t="e">
        <f t="shared" ref="E22:X22" si="2">E19+E21</f>
        <v>#VALUE!</v>
      </c>
      <c r="F22" s="28" t="e">
        <f t="shared" si="2"/>
        <v>#VALUE!</v>
      </c>
      <c r="G22" s="28">
        <f t="shared" si="2"/>
        <v>22299</v>
      </c>
      <c r="H22" s="28" t="e">
        <f t="shared" si="2"/>
        <v>#VALUE!</v>
      </c>
      <c r="I22" s="28" t="e">
        <f t="shared" si="2"/>
        <v>#VALUE!</v>
      </c>
      <c r="J22" s="28">
        <f t="shared" si="2"/>
        <v>19576</v>
      </c>
      <c r="K22" s="28" t="e">
        <f t="shared" si="2"/>
        <v>#VALUE!</v>
      </c>
      <c r="L22" s="28" t="e">
        <f t="shared" si="2"/>
        <v>#VALUE!</v>
      </c>
      <c r="M22" s="28">
        <f>M19+M21</f>
        <v>15037</v>
      </c>
      <c r="N22" s="28">
        <f t="shared" si="2"/>
        <v>0</v>
      </c>
      <c r="O22" s="28">
        <f t="shared" si="2"/>
        <v>0</v>
      </c>
      <c r="P22" s="28">
        <f t="shared" si="2"/>
        <v>0</v>
      </c>
      <c r="Q22" s="28">
        <f t="shared" si="2"/>
        <v>17166</v>
      </c>
      <c r="R22" s="28">
        <f t="shared" si="2"/>
        <v>0</v>
      </c>
      <c r="S22" s="28">
        <f t="shared" si="2"/>
        <v>0</v>
      </c>
      <c r="T22" s="28">
        <f t="shared" si="2"/>
        <v>0</v>
      </c>
      <c r="U22" s="28">
        <f t="shared" si="2"/>
        <v>18736</v>
      </c>
      <c r="V22" s="28">
        <f t="shared" si="2"/>
        <v>0</v>
      </c>
      <c r="W22" s="28">
        <f t="shared" si="2"/>
        <v>0</v>
      </c>
      <c r="X22" s="37">
        <f t="shared" si="2"/>
        <v>2.9072702875603924</v>
      </c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</row>
    <row r="23" spans="1:46" s="10" customFormat="1" ht="22.5" customHeight="1" thickTop="1" x14ac:dyDescent="0.2">
      <c r="A23" s="54" t="s">
        <v>19</v>
      </c>
      <c r="B23" s="55"/>
      <c r="C23" s="29"/>
      <c r="D23" s="30">
        <f t="shared" ref="D23:X23" si="3">D11+D17+D22</f>
        <v>55551970</v>
      </c>
      <c r="E23" s="30" t="e">
        <f t="shared" si="3"/>
        <v>#VALUE!</v>
      </c>
      <c r="F23" s="30" t="e">
        <f t="shared" si="3"/>
        <v>#VALUE!</v>
      </c>
      <c r="G23" s="30">
        <f t="shared" si="3"/>
        <v>47269344</v>
      </c>
      <c r="H23" s="30" t="e">
        <f t="shared" si="3"/>
        <v>#VALUE!</v>
      </c>
      <c r="I23" s="30" t="e">
        <f t="shared" si="3"/>
        <v>#VALUE!</v>
      </c>
      <c r="J23" s="30">
        <f t="shared" si="3"/>
        <v>55611223</v>
      </c>
      <c r="K23" s="30" t="e">
        <f t="shared" si="3"/>
        <v>#VALUE!</v>
      </c>
      <c r="L23" s="30" t="e">
        <f t="shared" si="3"/>
        <v>#VALUE!</v>
      </c>
      <c r="M23" s="30">
        <f t="shared" si="3"/>
        <v>45721820</v>
      </c>
      <c r="N23" s="30">
        <f t="shared" si="3"/>
        <v>0</v>
      </c>
      <c r="O23" s="30">
        <f t="shared" si="3"/>
        <v>0</v>
      </c>
      <c r="P23" s="30">
        <f t="shared" si="3"/>
        <v>4.5275859813327424</v>
      </c>
      <c r="Q23" s="30">
        <f t="shared" si="3"/>
        <v>44778040</v>
      </c>
      <c r="R23" s="30">
        <f t="shared" si="3"/>
        <v>0</v>
      </c>
      <c r="S23" s="30">
        <f t="shared" si="3"/>
        <v>0</v>
      </c>
      <c r="T23" s="30">
        <f t="shared" si="3"/>
        <v>5.5458672408569001</v>
      </c>
      <c r="U23" s="30">
        <f t="shared" si="3"/>
        <v>40047445</v>
      </c>
      <c r="V23" s="30">
        <f t="shared" si="3"/>
        <v>0</v>
      </c>
      <c r="W23" s="30">
        <f t="shared" si="3"/>
        <v>0</v>
      </c>
      <c r="X23" s="30">
        <f t="shared" si="3"/>
        <v>7.565870326145296</v>
      </c>
      <c r="Y23" s="38">
        <f t="shared" ref="Y23:AS23" si="4">Y11+Y17</f>
        <v>43307260</v>
      </c>
      <c r="Z23" s="38">
        <f t="shared" si="4"/>
        <v>0</v>
      </c>
      <c r="AA23" s="38">
        <f t="shared" si="4"/>
        <v>0</v>
      </c>
      <c r="AB23" s="38"/>
      <c r="AC23" s="38">
        <f>AC11+AC17</f>
        <v>42553855</v>
      </c>
      <c r="AD23" s="38">
        <f t="shared" si="4"/>
        <v>0</v>
      </c>
      <c r="AE23" s="38">
        <f t="shared" si="4"/>
        <v>0</v>
      </c>
      <c r="AF23" s="38"/>
      <c r="AG23" s="38">
        <f t="shared" si="4"/>
        <v>39159993</v>
      </c>
      <c r="AH23" s="38">
        <f t="shared" si="4"/>
        <v>0</v>
      </c>
      <c r="AI23" s="38">
        <f t="shared" si="4"/>
        <v>0</v>
      </c>
      <c r="AJ23" s="38"/>
      <c r="AK23" s="38">
        <f t="shared" si="4"/>
        <v>44693448</v>
      </c>
      <c r="AL23" s="38">
        <f t="shared" si="4"/>
        <v>0</v>
      </c>
      <c r="AM23" s="38">
        <f t="shared" si="4"/>
        <v>0</v>
      </c>
      <c r="AN23" s="38"/>
      <c r="AO23" s="38">
        <f t="shared" si="4"/>
        <v>46719804</v>
      </c>
      <c r="AP23" s="38">
        <f t="shared" si="4"/>
        <v>0</v>
      </c>
      <c r="AQ23" s="38">
        <f t="shared" si="4"/>
        <v>0</v>
      </c>
      <c r="AR23" s="38"/>
      <c r="AS23" s="38">
        <f t="shared" si="4"/>
        <v>51746666</v>
      </c>
      <c r="AT23" s="16"/>
    </row>
  </sheetData>
  <mergeCells count="14">
    <mergeCell ref="B18:U18"/>
    <mergeCell ref="A23:B23"/>
    <mergeCell ref="A2:AS2"/>
    <mergeCell ref="A4:A10"/>
    <mergeCell ref="B4:AS4"/>
    <mergeCell ref="B9:AS9"/>
    <mergeCell ref="A17:B17"/>
    <mergeCell ref="A13:A16"/>
    <mergeCell ref="B15:AS15"/>
    <mergeCell ref="B12:AS12"/>
    <mergeCell ref="A19:A21"/>
    <mergeCell ref="A22:B22"/>
    <mergeCell ref="A11:B11"/>
    <mergeCell ref="B20:U2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27"/>
  <sheetViews>
    <sheetView zoomScale="70" zoomScaleNormal="70" workbookViewId="0">
      <selection activeCell="H5" sqref="H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46" t="s">
        <v>42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47" t="s">
        <v>36</v>
      </c>
      <c r="B4" s="49" t="s">
        <v>31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ht="22.5" customHeight="1" x14ac:dyDescent="0.25">
      <c r="A5" s="48"/>
      <c r="B5" s="5" t="s">
        <v>14</v>
      </c>
      <c r="C5" s="3">
        <f>43554730+4719306</f>
        <v>48274036</v>
      </c>
      <c r="D5" s="3">
        <f>38832783+3292840</f>
        <v>42125623</v>
      </c>
      <c r="E5" s="3">
        <f>43433152+3938307</f>
        <v>47371459</v>
      </c>
      <c r="F5" s="3">
        <f>2365686+39611680</f>
        <v>41977366</v>
      </c>
      <c r="G5" s="3">
        <f>1787941+38758586</f>
        <v>40546527</v>
      </c>
      <c r="H5" s="3">
        <f>38265249+1592002</f>
        <v>39857251</v>
      </c>
      <c r="I5" s="3">
        <f>39181028+1610224</f>
        <v>40791252</v>
      </c>
      <c r="J5" s="3">
        <f>38676119+1751971</f>
        <v>40428090</v>
      </c>
      <c r="K5" s="17">
        <f>37955235+1754049</f>
        <v>39709284</v>
      </c>
      <c r="L5" s="3">
        <f>41776534+2761216</f>
        <v>44537750</v>
      </c>
      <c r="M5" s="3">
        <f>41831728+3251264</f>
        <v>45082992</v>
      </c>
      <c r="N5" s="3">
        <f>41873052+4213488</f>
        <v>46086540</v>
      </c>
    </row>
    <row r="6" spans="1:14" ht="22.5" customHeight="1" x14ac:dyDescent="0.25">
      <c r="A6" s="48"/>
      <c r="B6" s="5" t="s">
        <v>15</v>
      </c>
      <c r="C6" s="3">
        <f>162159+1434487</f>
        <v>1596646</v>
      </c>
      <c r="D6" s="3">
        <f>112926+1007309</f>
        <v>1120235</v>
      </c>
      <c r="E6" s="3">
        <f>111269+1135994</f>
        <v>1247263</v>
      </c>
      <c r="F6" s="3">
        <f>919451+103001</f>
        <v>1022452</v>
      </c>
      <c r="G6" s="3">
        <f>811554+88005</f>
        <v>899559</v>
      </c>
      <c r="H6" s="3">
        <f>71700+733259</f>
        <v>804959</v>
      </c>
      <c r="I6" s="3">
        <f>46236+804871</f>
        <v>851107</v>
      </c>
      <c r="J6" s="3">
        <f>41644+756588</f>
        <v>798232</v>
      </c>
      <c r="K6" s="17">
        <f>57434+797895</f>
        <v>855329</v>
      </c>
      <c r="L6" s="3">
        <f>68404+789034</f>
        <v>857438</v>
      </c>
      <c r="M6" s="3">
        <f>108847+985729</f>
        <v>1094576</v>
      </c>
      <c r="N6" s="3">
        <f>143181+1518442</f>
        <v>1661623</v>
      </c>
    </row>
    <row r="7" spans="1:14" ht="22.5" customHeight="1" x14ac:dyDescent="0.25">
      <c r="A7" s="48"/>
      <c r="B7" s="5" t="s">
        <v>16</v>
      </c>
      <c r="C7" s="3">
        <f>459876+609875</f>
        <v>1069751</v>
      </c>
      <c r="D7" s="3">
        <f>448991+329264</f>
        <v>778255</v>
      </c>
      <c r="E7" s="3">
        <f>469785+220207</f>
        <v>689992</v>
      </c>
      <c r="F7" s="3">
        <f>243856+399021</f>
        <v>642877</v>
      </c>
      <c r="G7" s="3">
        <f>274110+757315</f>
        <v>1031425</v>
      </c>
      <c r="H7" s="3">
        <f>551775+175632</f>
        <v>727407</v>
      </c>
      <c r="I7" s="3">
        <f>274822+74312</f>
        <v>349134</v>
      </c>
      <c r="J7" s="3">
        <f>361134+148590</f>
        <v>509724</v>
      </c>
      <c r="K7" s="17">
        <f>290625+220193</f>
        <v>510818</v>
      </c>
      <c r="L7" s="3">
        <f>378342+237359</f>
        <v>615701</v>
      </c>
      <c r="M7" s="3">
        <f>333271+332671</f>
        <v>665942</v>
      </c>
      <c r="N7" s="3">
        <f>399247+330107</f>
        <v>729354</v>
      </c>
    </row>
    <row r="8" spans="1:14" ht="22.5" customHeight="1" x14ac:dyDescent="0.25">
      <c r="A8" s="48"/>
      <c r="B8" s="5" t="s">
        <v>17</v>
      </c>
      <c r="C8" s="3">
        <f>264165+152773</f>
        <v>416938</v>
      </c>
      <c r="D8" s="3">
        <f>243590+129147</f>
        <v>372737</v>
      </c>
      <c r="E8" s="3">
        <f>210001+142716</f>
        <v>352717</v>
      </c>
      <c r="F8" s="3">
        <f>65507+183136</f>
        <v>248643</v>
      </c>
      <c r="G8" s="3">
        <f>31601+165121</f>
        <v>196722</v>
      </c>
      <c r="H8" s="3">
        <f>165881+34463</f>
        <v>200344</v>
      </c>
      <c r="I8" s="3">
        <f>174425+37334</f>
        <v>211759</v>
      </c>
      <c r="J8" s="3">
        <f>173011+31725</f>
        <v>204736</v>
      </c>
      <c r="K8" s="17">
        <f>181450+27329</f>
        <v>208779</v>
      </c>
      <c r="L8" s="3">
        <f>185271+66508</f>
        <v>251779</v>
      </c>
      <c r="M8" s="3">
        <f>203927+86798</f>
        <v>290725</v>
      </c>
      <c r="N8" s="3">
        <f>231990+152227</f>
        <v>384217</v>
      </c>
    </row>
    <row r="9" spans="1:14" ht="22.5" customHeight="1" x14ac:dyDescent="0.25">
      <c r="A9" s="48"/>
      <c r="B9" s="49" t="s">
        <v>32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</row>
    <row r="10" spans="1:14" ht="22.5" customHeight="1" x14ac:dyDescent="0.25">
      <c r="A10" s="48"/>
      <c r="B10" s="31"/>
      <c r="C10" s="32">
        <f>911557+11640</f>
        <v>923197</v>
      </c>
      <c r="D10" s="32">
        <f>875824+11368</f>
        <v>887192</v>
      </c>
      <c r="E10" s="32">
        <f>850629+9629</f>
        <v>860258</v>
      </c>
      <c r="F10" s="32">
        <f>11421+777834</f>
        <v>789255</v>
      </c>
      <c r="G10" s="32">
        <f>7966+704045</f>
        <v>712011</v>
      </c>
      <c r="H10" s="32">
        <f>694093+8193</f>
        <v>702286</v>
      </c>
      <c r="I10" s="32">
        <f>626502+6579</f>
        <v>633081</v>
      </c>
      <c r="J10" s="32">
        <f>693464+6929</f>
        <v>700393</v>
      </c>
      <c r="K10" s="33">
        <f>716388+6436</f>
        <v>722824</v>
      </c>
      <c r="L10" s="32">
        <f>748173+7617</f>
        <v>755790</v>
      </c>
      <c r="M10" s="32">
        <f>705031+9484</f>
        <v>714515</v>
      </c>
      <c r="N10" s="32">
        <f>895846+10291</f>
        <v>906137</v>
      </c>
    </row>
    <row r="11" spans="1:14" ht="22.5" customHeight="1" thickBot="1" x14ac:dyDescent="0.3">
      <c r="A11" s="62" t="s">
        <v>18</v>
      </c>
      <c r="B11" s="63"/>
      <c r="C11" s="35">
        <f>SUM(C5:C8)+C10</f>
        <v>52280568</v>
      </c>
      <c r="D11" s="35">
        <f t="shared" ref="D11:N11" si="0">SUM(D5:D8)+D10</f>
        <v>45284042</v>
      </c>
      <c r="E11" s="35">
        <f t="shared" si="0"/>
        <v>50521689</v>
      </c>
      <c r="F11" s="35">
        <f t="shared" si="0"/>
        <v>44680593</v>
      </c>
      <c r="G11" s="35">
        <f t="shared" si="0"/>
        <v>43386244</v>
      </c>
      <c r="H11" s="35">
        <f t="shared" si="0"/>
        <v>42292247</v>
      </c>
      <c r="I11" s="35">
        <f>SUM(I5:I8)+I10</f>
        <v>42836333</v>
      </c>
      <c r="J11" s="35">
        <f t="shared" si="0"/>
        <v>42641175</v>
      </c>
      <c r="K11" s="35">
        <f t="shared" si="0"/>
        <v>42007034</v>
      </c>
      <c r="L11" s="35">
        <f t="shared" si="0"/>
        <v>47018458</v>
      </c>
      <c r="M11" s="35">
        <f t="shared" si="0"/>
        <v>47848750</v>
      </c>
      <c r="N11" s="35">
        <f t="shared" si="0"/>
        <v>49767871</v>
      </c>
    </row>
    <row r="12" spans="1:14" ht="22.5" customHeight="1" thickTop="1" x14ac:dyDescent="0.25">
      <c r="A12" s="26"/>
      <c r="B12" s="59" t="s">
        <v>31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1:14" ht="22.5" customHeight="1" x14ac:dyDescent="0.25">
      <c r="A13" s="47" t="s">
        <v>40</v>
      </c>
      <c r="B13" s="20" t="s">
        <v>15</v>
      </c>
      <c r="C13" s="22"/>
      <c r="D13" s="22"/>
      <c r="E13" s="22">
        <v>67</v>
      </c>
      <c r="F13" s="22"/>
      <c r="G13" s="22"/>
      <c r="H13" s="22"/>
      <c r="I13" s="22"/>
      <c r="J13" s="22"/>
      <c r="K13" s="23"/>
      <c r="L13" s="22"/>
      <c r="M13" s="22"/>
      <c r="N13" s="22"/>
    </row>
    <row r="14" spans="1:14" ht="22.5" customHeight="1" x14ac:dyDescent="0.25">
      <c r="A14" s="48"/>
      <c r="B14" s="20" t="s">
        <v>16</v>
      </c>
      <c r="C14" s="22"/>
      <c r="D14" s="22"/>
      <c r="E14" s="22"/>
      <c r="F14" s="22"/>
      <c r="G14" s="22"/>
      <c r="H14" s="22">
        <v>8153</v>
      </c>
      <c r="I14" s="22"/>
      <c r="J14" s="22"/>
      <c r="K14" s="23"/>
      <c r="L14" s="22"/>
      <c r="M14" s="22"/>
      <c r="N14" s="22"/>
    </row>
    <row r="15" spans="1:14" ht="22.5" customHeight="1" x14ac:dyDescent="0.25">
      <c r="A15" s="48"/>
      <c r="B15" s="18" t="s">
        <v>17</v>
      </c>
      <c r="C15" s="22">
        <f>2388</f>
        <v>2388</v>
      </c>
      <c r="D15" s="22">
        <v>2300</v>
      </c>
      <c r="E15" s="22">
        <v>1880</v>
      </c>
      <c r="F15" s="22">
        <f>1401</f>
        <v>1401</v>
      </c>
      <c r="G15" s="3">
        <v>1822</v>
      </c>
      <c r="H15" s="3">
        <v>3620</v>
      </c>
      <c r="I15" s="3">
        <v>3840</v>
      </c>
      <c r="J15" s="3">
        <v>4201</v>
      </c>
      <c r="K15" s="17">
        <v>3691</v>
      </c>
      <c r="L15" s="3">
        <v>3609</v>
      </c>
      <c r="M15" s="3">
        <v>3995</v>
      </c>
      <c r="N15" s="3">
        <v>4937</v>
      </c>
    </row>
    <row r="16" spans="1:14" ht="22.5" customHeight="1" x14ac:dyDescent="0.25">
      <c r="A16" s="48"/>
      <c r="B16" s="50" t="s">
        <v>32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1"/>
    </row>
    <row r="17" spans="1:14" ht="22.5" customHeight="1" x14ac:dyDescent="0.25">
      <c r="A17" s="58"/>
      <c r="B17" s="18"/>
      <c r="C17" s="22">
        <f>73271+37122</f>
        <v>110393</v>
      </c>
      <c r="D17" s="22">
        <f>59782+92919</f>
        <v>152701</v>
      </c>
      <c r="E17" s="22">
        <v>100300</v>
      </c>
      <c r="F17" s="22">
        <f>63514+27601</f>
        <v>91115</v>
      </c>
      <c r="G17" s="3">
        <f>50533</f>
        <v>50533</v>
      </c>
      <c r="H17" s="3">
        <f>38550+22808</f>
        <v>61358</v>
      </c>
      <c r="I17" s="3">
        <f>15786+31338</f>
        <v>47124</v>
      </c>
      <c r="J17" s="3">
        <v>53480</v>
      </c>
      <c r="K17" s="17">
        <f>32962+25848</f>
        <v>58810</v>
      </c>
      <c r="L17" s="3">
        <f>83445-L15</f>
        <v>79836</v>
      </c>
      <c r="M17" s="3">
        <f>106563-M15</f>
        <v>102568</v>
      </c>
      <c r="N17" s="3">
        <f>150889-N15</f>
        <v>145952</v>
      </c>
    </row>
    <row r="18" spans="1:14" ht="22.5" customHeight="1" thickBot="1" x14ac:dyDescent="0.3">
      <c r="A18" s="56" t="s">
        <v>18</v>
      </c>
      <c r="B18" s="57"/>
      <c r="C18" s="28">
        <f t="shared" ref="C18:N18" si="1">SUM(C13:C15,C17)</f>
        <v>112781</v>
      </c>
      <c r="D18" s="35">
        <f t="shared" si="1"/>
        <v>155001</v>
      </c>
      <c r="E18" s="35">
        <f t="shared" si="1"/>
        <v>102247</v>
      </c>
      <c r="F18" s="35">
        <f t="shared" si="1"/>
        <v>92516</v>
      </c>
      <c r="G18" s="35">
        <f t="shared" si="1"/>
        <v>52355</v>
      </c>
      <c r="H18" s="35">
        <f t="shared" si="1"/>
        <v>73131</v>
      </c>
      <c r="I18" s="35">
        <f t="shared" si="1"/>
        <v>50964</v>
      </c>
      <c r="J18" s="35">
        <f t="shared" si="1"/>
        <v>57681</v>
      </c>
      <c r="K18" s="35">
        <f t="shared" si="1"/>
        <v>62501</v>
      </c>
      <c r="L18" s="35">
        <f t="shared" si="1"/>
        <v>83445</v>
      </c>
      <c r="M18" s="35">
        <f t="shared" si="1"/>
        <v>106563</v>
      </c>
      <c r="N18" s="35">
        <f t="shared" si="1"/>
        <v>150889</v>
      </c>
    </row>
    <row r="19" spans="1:14" s="10" customFormat="1" ht="22.5" customHeight="1" thickTop="1" x14ac:dyDescent="0.2">
      <c r="A19" s="54" t="s">
        <v>19</v>
      </c>
      <c r="B19" s="55"/>
      <c r="C19" s="30">
        <f>C11+C18</f>
        <v>52393349</v>
      </c>
      <c r="D19" s="30">
        <f t="shared" ref="D19:H19" si="2">D11+D18</f>
        <v>45439043</v>
      </c>
      <c r="E19" s="30">
        <f t="shared" si="2"/>
        <v>50623936</v>
      </c>
      <c r="F19" s="30">
        <f t="shared" si="2"/>
        <v>44773109</v>
      </c>
      <c r="G19" s="30">
        <f t="shared" si="2"/>
        <v>43438599</v>
      </c>
      <c r="H19" s="30">
        <f t="shared" si="2"/>
        <v>42365378</v>
      </c>
      <c r="I19" s="38">
        <f t="shared" ref="I19:N19" si="3">I11+I18</f>
        <v>42887297</v>
      </c>
      <c r="J19" s="38">
        <f>J11+J18</f>
        <v>42698856</v>
      </c>
      <c r="K19" s="38">
        <f t="shared" si="3"/>
        <v>42069535</v>
      </c>
      <c r="L19" s="38">
        <f t="shared" si="3"/>
        <v>47101903</v>
      </c>
      <c r="M19" s="38">
        <f t="shared" si="3"/>
        <v>47955313</v>
      </c>
      <c r="N19" s="38">
        <f t="shared" si="3"/>
        <v>49918760</v>
      </c>
    </row>
    <row r="22" spans="1:14" ht="22.5" customHeight="1" x14ac:dyDescent="0.25">
      <c r="J22" s="43"/>
    </row>
    <row r="23" spans="1:14" ht="22.5" customHeight="1" x14ac:dyDescent="0.25">
      <c r="J23" s="43"/>
    </row>
    <row r="24" spans="1:14" ht="22.5" customHeight="1" x14ac:dyDescent="0.25">
      <c r="J24" s="43"/>
    </row>
    <row r="25" spans="1:14" ht="22.5" customHeight="1" x14ac:dyDescent="0.25">
      <c r="J25" s="43"/>
    </row>
    <row r="26" spans="1:14" ht="22.5" customHeight="1" x14ac:dyDescent="0.25">
      <c r="J26" s="43"/>
    </row>
    <row r="27" spans="1:14" ht="22.5" customHeight="1" x14ac:dyDescent="0.25">
      <c r="J27" s="43"/>
    </row>
  </sheetData>
  <mergeCells count="10">
    <mergeCell ref="A19:B19"/>
    <mergeCell ref="A13:A17"/>
    <mergeCell ref="B16:N16"/>
    <mergeCell ref="A18:B18"/>
    <mergeCell ref="B12:N12"/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27"/>
  <sheetViews>
    <sheetView tabSelected="1" topLeftCell="E1" zoomScale="70" zoomScaleNormal="70" workbookViewId="0">
      <selection activeCell="Q8" sqref="Q8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46" t="s">
        <v>43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47" t="s">
        <v>36</v>
      </c>
      <c r="B4" s="49" t="s">
        <v>31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ht="22.5" customHeight="1" x14ac:dyDescent="0.25">
      <c r="A5" s="48"/>
      <c r="B5" s="5" t="s">
        <v>14</v>
      </c>
      <c r="C5" s="3">
        <f>43475909+4625476</f>
        <v>48101385</v>
      </c>
      <c r="D5" s="3">
        <v>39054946</v>
      </c>
      <c r="E5" s="3">
        <v>44505477</v>
      </c>
      <c r="F5" s="3">
        <v>36882933</v>
      </c>
      <c r="G5" s="3">
        <v>39400682</v>
      </c>
      <c r="H5" s="3">
        <v>35440159</v>
      </c>
      <c r="I5" s="3">
        <v>37714113</v>
      </c>
      <c r="J5" s="3">
        <v>37250198</v>
      </c>
      <c r="K5" s="17">
        <v>35552890</v>
      </c>
      <c r="L5" s="3">
        <v>38687114</v>
      </c>
      <c r="M5" s="3">
        <v>40708371</v>
      </c>
      <c r="N5" s="3">
        <v>45451883</v>
      </c>
    </row>
    <row r="6" spans="1:14" ht="22.5" customHeight="1" x14ac:dyDescent="0.25">
      <c r="A6" s="48"/>
      <c r="B6" s="5" t="s">
        <v>15</v>
      </c>
      <c r="C6" s="3">
        <f>143698+1393468</f>
        <v>1537166</v>
      </c>
      <c r="D6" s="3">
        <v>124910</v>
      </c>
      <c r="E6" s="3">
        <v>1298813</v>
      </c>
      <c r="F6" s="3">
        <v>1007184</v>
      </c>
      <c r="G6" s="3">
        <v>883740</v>
      </c>
      <c r="H6" s="3">
        <v>630079</v>
      </c>
      <c r="I6" s="3">
        <v>761511</v>
      </c>
      <c r="J6" s="3">
        <v>774759</v>
      </c>
      <c r="K6" s="17">
        <v>682245</v>
      </c>
      <c r="L6" s="3">
        <v>770461</v>
      </c>
      <c r="M6" s="3">
        <v>871344</v>
      </c>
      <c r="N6" s="3">
        <v>1041364</v>
      </c>
    </row>
    <row r="7" spans="1:14" ht="22.5" customHeight="1" x14ac:dyDescent="0.25">
      <c r="A7" s="48"/>
      <c r="B7" s="5" t="s">
        <v>16</v>
      </c>
      <c r="C7" s="3">
        <f>501008+475843</f>
        <v>976851</v>
      </c>
      <c r="D7" s="3">
        <v>432290</v>
      </c>
      <c r="E7" s="3">
        <v>922068</v>
      </c>
      <c r="F7" s="3">
        <v>622195</v>
      </c>
      <c r="G7" s="3">
        <v>472157</v>
      </c>
      <c r="H7" s="3">
        <v>396946</v>
      </c>
      <c r="I7" s="3">
        <v>413234</v>
      </c>
      <c r="J7" s="3">
        <v>369011</v>
      </c>
      <c r="K7" s="17">
        <v>456533</v>
      </c>
      <c r="L7" s="3">
        <v>602322</v>
      </c>
      <c r="M7" s="3">
        <v>668056</v>
      </c>
      <c r="N7" s="3">
        <v>708008</v>
      </c>
    </row>
    <row r="8" spans="1:14" ht="22.5" customHeight="1" x14ac:dyDescent="0.25">
      <c r="A8" s="48"/>
      <c r="B8" s="5" t="s">
        <v>17</v>
      </c>
      <c r="C8" s="3">
        <f>250533+131312</f>
        <v>381845</v>
      </c>
      <c r="D8" s="3">
        <v>231416</v>
      </c>
      <c r="E8" s="3">
        <v>331075</v>
      </c>
      <c r="F8" s="3">
        <v>262037</v>
      </c>
      <c r="G8" s="3">
        <v>201987</v>
      </c>
      <c r="H8" s="3">
        <v>202498</v>
      </c>
      <c r="I8" s="3">
        <v>191508</v>
      </c>
      <c r="J8" s="3">
        <v>182213</v>
      </c>
      <c r="K8" s="17">
        <v>203862</v>
      </c>
      <c r="L8" s="3">
        <v>244575</v>
      </c>
      <c r="M8" s="3">
        <v>295895</v>
      </c>
      <c r="N8" s="3">
        <v>378053</v>
      </c>
    </row>
    <row r="9" spans="1:14" ht="22.5" customHeight="1" x14ac:dyDescent="0.25">
      <c r="A9" s="48"/>
      <c r="B9" s="49" t="s">
        <v>32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</row>
    <row r="10" spans="1:14" ht="22.5" customHeight="1" x14ac:dyDescent="0.25">
      <c r="A10" s="48"/>
      <c r="B10" s="31"/>
      <c r="C10" s="32">
        <f>1001747+12943</f>
        <v>1014690</v>
      </c>
      <c r="D10" s="32">
        <v>893254</v>
      </c>
      <c r="E10" s="32">
        <v>944466</v>
      </c>
      <c r="F10" s="32">
        <v>784749</v>
      </c>
      <c r="G10" s="32">
        <v>751830</v>
      </c>
      <c r="H10" s="32">
        <v>737360</v>
      </c>
      <c r="I10" s="32">
        <v>689140</v>
      </c>
      <c r="J10" s="32">
        <v>654623</v>
      </c>
      <c r="K10" s="33">
        <v>705690</v>
      </c>
      <c r="L10" s="32">
        <v>776633</v>
      </c>
      <c r="M10" s="32">
        <v>838052</v>
      </c>
      <c r="N10" s="32">
        <v>937501</v>
      </c>
    </row>
    <row r="11" spans="1:14" ht="22.5" customHeight="1" thickBot="1" x14ac:dyDescent="0.3">
      <c r="A11" s="62" t="s">
        <v>18</v>
      </c>
      <c r="B11" s="63"/>
      <c r="C11" s="35">
        <f>SUM(C5:C8)+C10</f>
        <v>52011937</v>
      </c>
      <c r="D11" s="35">
        <f t="shared" ref="D11:N11" si="0">SUM(D5:D8)+D10</f>
        <v>40736816</v>
      </c>
      <c r="E11" s="35">
        <f t="shared" si="0"/>
        <v>48001899</v>
      </c>
      <c r="F11" s="35">
        <f t="shared" si="0"/>
        <v>39559098</v>
      </c>
      <c r="G11" s="35">
        <f t="shared" si="0"/>
        <v>41710396</v>
      </c>
      <c r="H11" s="35">
        <f t="shared" si="0"/>
        <v>37407042</v>
      </c>
      <c r="I11" s="35">
        <f>SUM(I5:I8)+I10</f>
        <v>39769506</v>
      </c>
      <c r="J11" s="35">
        <f t="shared" si="0"/>
        <v>39230804</v>
      </c>
      <c r="K11" s="35">
        <f t="shared" si="0"/>
        <v>37601220</v>
      </c>
      <c r="L11" s="35">
        <f t="shared" si="0"/>
        <v>41081105</v>
      </c>
      <c r="M11" s="35">
        <f t="shared" si="0"/>
        <v>43381718</v>
      </c>
      <c r="N11" s="35">
        <f t="shared" si="0"/>
        <v>48516809</v>
      </c>
    </row>
    <row r="12" spans="1:14" ht="22.5" customHeight="1" thickTop="1" x14ac:dyDescent="0.25">
      <c r="A12" s="26"/>
      <c r="B12" s="59" t="s">
        <v>31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1:14" ht="22.5" customHeight="1" x14ac:dyDescent="0.25">
      <c r="A13" s="47" t="s">
        <v>40</v>
      </c>
      <c r="B13" s="20" t="s">
        <v>15</v>
      </c>
      <c r="C13" s="22"/>
      <c r="D13" s="22"/>
      <c r="E13" s="22"/>
      <c r="F13" s="22"/>
      <c r="G13" s="22"/>
      <c r="H13" s="22"/>
      <c r="I13" s="22"/>
      <c r="J13" s="22"/>
      <c r="K13" s="23"/>
      <c r="L13" s="22"/>
      <c r="M13" s="22"/>
      <c r="N13" s="22"/>
    </row>
    <row r="14" spans="1:14" ht="22.5" customHeight="1" x14ac:dyDescent="0.25">
      <c r="A14" s="48"/>
      <c r="B14" s="20" t="s">
        <v>16</v>
      </c>
      <c r="C14" s="22"/>
      <c r="D14" s="22"/>
      <c r="E14" s="22"/>
      <c r="F14" s="22"/>
      <c r="G14" s="22"/>
      <c r="H14" s="22"/>
      <c r="I14" s="22"/>
      <c r="J14" s="22"/>
      <c r="K14" s="23"/>
      <c r="L14" s="22"/>
      <c r="M14" s="22"/>
      <c r="N14" s="22"/>
    </row>
    <row r="15" spans="1:14" ht="22.5" customHeight="1" x14ac:dyDescent="0.25">
      <c r="A15" s="48"/>
      <c r="B15" s="18" t="s">
        <v>17</v>
      </c>
      <c r="C15" s="22">
        <v>4897</v>
      </c>
      <c r="D15" s="22">
        <v>3535</v>
      </c>
      <c r="E15" s="22">
        <v>3883</v>
      </c>
      <c r="F15" s="22">
        <v>3599</v>
      </c>
      <c r="G15" s="3">
        <v>3551</v>
      </c>
      <c r="H15" s="3">
        <v>4027</v>
      </c>
      <c r="I15" s="3">
        <v>3866</v>
      </c>
      <c r="J15" s="3">
        <v>3630</v>
      </c>
      <c r="K15" s="17">
        <v>4090</v>
      </c>
      <c r="L15" s="3">
        <v>4196</v>
      </c>
      <c r="M15" s="3">
        <v>3952</v>
      </c>
      <c r="N15" s="3">
        <v>4692</v>
      </c>
    </row>
    <row r="16" spans="1:14" ht="22.5" customHeight="1" x14ac:dyDescent="0.25">
      <c r="A16" s="48"/>
      <c r="B16" s="50" t="s">
        <v>32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1"/>
    </row>
    <row r="17" spans="1:14" ht="22.5" customHeight="1" x14ac:dyDescent="0.25">
      <c r="A17" s="58"/>
      <c r="B17" s="18"/>
      <c r="C17" s="22">
        <v>171594</v>
      </c>
      <c r="D17" s="22">
        <f>147488-D15</f>
        <v>143953</v>
      </c>
      <c r="E17" s="22">
        <v>189183</v>
      </c>
      <c r="F17" s="22">
        <f>32321-F15</f>
        <v>28722</v>
      </c>
      <c r="G17" s="3">
        <f>98738-G15</f>
        <v>95187</v>
      </c>
      <c r="H17" s="3">
        <f>49057-H15</f>
        <v>45030</v>
      </c>
      <c r="I17" s="3">
        <f>40893-I15</f>
        <v>37027</v>
      </c>
      <c r="J17" s="3">
        <f>34710-J15</f>
        <v>31080</v>
      </c>
      <c r="K17" s="17">
        <f>45308-K15</f>
        <v>41218</v>
      </c>
      <c r="L17" s="3">
        <f>87821-4196</f>
        <v>83625</v>
      </c>
      <c r="M17" s="3">
        <v>110820</v>
      </c>
      <c r="N17" s="3">
        <v>124661</v>
      </c>
    </row>
    <row r="18" spans="1:14" ht="22.5" customHeight="1" thickBot="1" x14ac:dyDescent="0.3">
      <c r="A18" s="56" t="s">
        <v>18</v>
      </c>
      <c r="B18" s="57"/>
      <c r="C18" s="28">
        <f t="shared" ref="C18:N18" si="1">SUM(C13:C15,C17)</f>
        <v>176491</v>
      </c>
      <c r="D18" s="35">
        <f t="shared" si="1"/>
        <v>147488</v>
      </c>
      <c r="E18" s="35">
        <f t="shared" si="1"/>
        <v>193066</v>
      </c>
      <c r="F18" s="35">
        <f t="shared" si="1"/>
        <v>32321</v>
      </c>
      <c r="G18" s="35">
        <f t="shared" si="1"/>
        <v>98738</v>
      </c>
      <c r="H18" s="35">
        <f t="shared" si="1"/>
        <v>49057</v>
      </c>
      <c r="I18" s="35">
        <f t="shared" si="1"/>
        <v>40893</v>
      </c>
      <c r="J18" s="35">
        <f t="shared" si="1"/>
        <v>34710</v>
      </c>
      <c r="K18" s="35">
        <f t="shared" si="1"/>
        <v>45308</v>
      </c>
      <c r="L18" s="35">
        <f t="shared" si="1"/>
        <v>87821</v>
      </c>
      <c r="M18" s="35">
        <f t="shared" si="1"/>
        <v>114772</v>
      </c>
      <c r="N18" s="35">
        <f t="shared" si="1"/>
        <v>129353</v>
      </c>
    </row>
    <row r="19" spans="1:14" s="10" customFormat="1" ht="22.5" customHeight="1" thickTop="1" x14ac:dyDescent="0.2">
      <c r="A19" s="54" t="s">
        <v>19</v>
      </c>
      <c r="B19" s="55"/>
      <c r="C19" s="30">
        <f>C11+C18</f>
        <v>52188428</v>
      </c>
      <c r="D19" s="30">
        <f t="shared" ref="D19:N19" si="2">D11+D18</f>
        <v>40884304</v>
      </c>
      <c r="E19" s="30">
        <f t="shared" si="2"/>
        <v>48194965</v>
      </c>
      <c r="F19" s="30">
        <f t="shared" si="2"/>
        <v>39591419</v>
      </c>
      <c r="G19" s="30">
        <f t="shared" si="2"/>
        <v>41809134</v>
      </c>
      <c r="H19" s="30">
        <f t="shared" si="2"/>
        <v>37456099</v>
      </c>
      <c r="I19" s="38">
        <f t="shared" si="2"/>
        <v>39810399</v>
      </c>
      <c r="J19" s="38">
        <f>J11+J18</f>
        <v>39265514</v>
      </c>
      <c r="K19" s="38">
        <f t="shared" si="2"/>
        <v>37646528</v>
      </c>
      <c r="L19" s="38">
        <f t="shared" si="2"/>
        <v>41168926</v>
      </c>
      <c r="M19" s="38">
        <f t="shared" si="2"/>
        <v>43496490</v>
      </c>
      <c r="N19" s="38">
        <f t="shared" si="2"/>
        <v>48646162</v>
      </c>
    </row>
    <row r="22" spans="1:14" ht="22.5" customHeight="1" x14ac:dyDescent="0.25">
      <c r="J22" s="43"/>
    </row>
    <row r="23" spans="1:14" ht="22.5" customHeight="1" x14ac:dyDescent="0.25">
      <c r="J23" s="43"/>
    </row>
    <row r="24" spans="1:14" ht="22.5" customHeight="1" x14ac:dyDescent="0.25">
      <c r="J24" s="43"/>
    </row>
    <row r="25" spans="1:14" ht="22.5" customHeight="1" x14ac:dyDescent="0.25">
      <c r="J25" s="43"/>
    </row>
    <row r="26" spans="1:14" ht="22.5" customHeight="1" x14ac:dyDescent="0.25">
      <c r="J26" s="43"/>
    </row>
    <row r="27" spans="1:14" ht="22.5" customHeight="1" x14ac:dyDescent="0.25">
      <c r="J27" s="43"/>
    </row>
  </sheetData>
  <mergeCells count="10">
    <mergeCell ref="A13:A17"/>
    <mergeCell ref="B16:N16"/>
    <mergeCell ref="A18:B18"/>
    <mergeCell ref="A19:B19"/>
    <mergeCell ref="A2:N2"/>
    <mergeCell ref="A4:A10"/>
    <mergeCell ref="B4:N4"/>
    <mergeCell ref="B9:N9"/>
    <mergeCell ref="A11:B11"/>
    <mergeCell ref="B12:N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5"/>
  <sheetViews>
    <sheetView workbookViewId="0">
      <selection activeCell="B5" sqref="A5:XFD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47" t="s">
        <v>21</v>
      </c>
      <c r="B4" s="49" t="s">
        <v>22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ht="22.5" customHeight="1" x14ac:dyDescent="0.25">
      <c r="A5" s="48"/>
      <c r="B5" s="5" t="s">
        <v>14</v>
      </c>
      <c r="C5" s="3">
        <v>39417857</v>
      </c>
      <c r="D5" s="3">
        <v>36737561</v>
      </c>
      <c r="E5" s="3">
        <v>39652889</v>
      </c>
      <c r="F5" s="3">
        <v>35688182</v>
      </c>
      <c r="G5" s="3">
        <v>36256840</v>
      </c>
      <c r="H5" s="3">
        <v>35145996</v>
      </c>
      <c r="I5" s="3">
        <v>35588741</v>
      </c>
      <c r="J5" s="3">
        <v>33658226</v>
      </c>
      <c r="K5" s="3">
        <v>35133947</v>
      </c>
      <c r="L5" s="3">
        <v>38370532</v>
      </c>
      <c r="M5" s="3">
        <v>38890703</v>
      </c>
      <c r="N5" s="3">
        <v>37892119</v>
      </c>
    </row>
    <row r="6" spans="1:14" ht="22.5" customHeight="1" x14ac:dyDescent="0.25">
      <c r="A6" s="48"/>
      <c r="B6" s="5" t="s">
        <v>15</v>
      </c>
      <c r="C6" s="3">
        <v>2424671</v>
      </c>
      <c r="D6" s="3">
        <v>2141619</v>
      </c>
      <c r="E6" s="3">
        <v>2445651</v>
      </c>
      <c r="F6" s="3">
        <v>2298917</v>
      </c>
      <c r="G6" s="3">
        <v>2308235</v>
      </c>
      <c r="H6" s="3">
        <v>2134374</v>
      </c>
      <c r="I6" s="3">
        <v>2182016</v>
      </c>
      <c r="J6" s="3">
        <v>2150226</v>
      </c>
      <c r="K6" s="3">
        <v>2221918</v>
      </c>
      <c r="L6" s="3">
        <v>2448826</v>
      </c>
      <c r="M6" s="3">
        <v>2374043</v>
      </c>
      <c r="N6" s="3">
        <v>2673050</v>
      </c>
    </row>
    <row r="7" spans="1:14" ht="22.5" customHeight="1" x14ac:dyDescent="0.25">
      <c r="A7" s="48"/>
      <c r="B7" s="5" t="s">
        <v>16</v>
      </c>
      <c r="C7" s="3">
        <v>136916</v>
      </c>
      <c r="D7" s="3">
        <v>148513</v>
      </c>
      <c r="E7" s="3">
        <v>114968</v>
      </c>
      <c r="F7" s="3">
        <v>133221</v>
      </c>
      <c r="G7" s="3">
        <v>99526</v>
      </c>
      <c r="H7" s="3">
        <v>65018</v>
      </c>
      <c r="I7" s="3">
        <v>67947</v>
      </c>
      <c r="J7" s="3">
        <v>74674</v>
      </c>
      <c r="K7" s="3">
        <v>81770</v>
      </c>
      <c r="L7" s="3">
        <v>117251</v>
      </c>
      <c r="M7" s="3">
        <v>147437</v>
      </c>
      <c r="N7" s="3">
        <v>169838</v>
      </c>
    </row>
    <row r="8" spans="1:14" ht="22.5" customHeight="1" x14ac:dyDescent="0.25">
      <c r="A8" s="48"/>
      <c r="B8" s="5" t="s">
        <v>17</v>
      </c>
      <c r="C8" s="3">
        <v>145405</v>
      </c>
      <c r="D8" s="3">
        <v>164748</v>
      </c>
      <c r="E8" s="3">
        <v>141311</v>
      </c>
      <c r="F8" s="3">
        <v>141051</v>
      </c>
      <c r="G8" s="3">
        <v>107372</v>
      </c>
      <c r="H8" s="3">
        <v>89343</v>
      </c>
      <c r="I8" s="3">
        <v>86492</v>
      </c>
      <c r="J8" s="3">
        <v>100204</v>
      </c>
      <c r="K8" s="3">
        <v>109730</v>
      </c>
      <c r="L8" s="3">
        <v>108269</v>
      </c>
      <c r="M8" s="3">
        <v>118140</v>
      </c>
      <c r="N8" s="3">
        <v>152488</v>
      </c>
    </row>
    <row r="9" spans="1:14" ht="22.5" customHeight="1" x14ac:dyDescent="0.25">
      <c r="A9" s="48"/>
      <c r="B9" s="49" t="s">
        <v>23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</row>
    <row r="10" spans="1:14" ht="22.5" customHeight="1" x14ac:dyDescent="0.25">
      <c r="A10" s="48"/>
      <c r="B10" s="4"/>
      <c r="C10" s="3">
        <v>591088</v>
      </c>
      <c r="D10" s="3">
        <v>640057</v>
      </c>
      <c r="E10" s="3">
        <v>543296</v>
      </c>
      <c r="F10" s="3">
        <v>478645</v>
      </c>
      <c r="G10" s="3">
        <v>442696</v>
      </c>
      <c r="H10" s="3">
        <v>424027</v>
      </c>
      <c r="I10" s="3">
        <v>400844</v>
      </c>
      <c r="J10" s="3">
        <v>383731</v>
      </c>
      <c r="K10" s="3">
        <v>431960</v>
      </c>
      <c r="L10" s="3">
        <v>446716</v>
      </c>
      <c r="M10" s="3">
        <v>526843</v>
      </c>
      <c r="N10" s="3">
        <v>476407</v>
      </c>
    </row>
    <row r="11" spans="1:14" ht="22.5" customHeight="1" x14ac:dyDescent="0.25">
      <c r="A11" s="44" t="s">
        <v>18</v>
      </c>
      <c r="B11" s="45"/>
      <c r="C11" s="9">
        <f t="shared" ref="C11:N11" si="0">SUM(C5:C8,C10)</f>
        <v>42715937</v>
      </c>
      <c r="D11" s="9">
        <f t="shared" si="0"/>
        <v>39832498</v>
      </c>
      <c r="E11" s="9">
        <f t="shared" si="0"/>
        <v>42898115</v>
      </c>
      <c r="F11" s="9">
        <f t="shared" si="0"/>
        <v>38740016</v>
      </c>
      <c r="G11" s="9">
        <f t="shared" si="0"/>
        <v>39214669</v>
      </c>
      <c r="H11" s="9">
        <f t="shared" si="0"/>
        <v>37858758</v>
      </c>
      <c r="I11" s="9">
        <f t="shared" si="0"/>
        <v>38326040</v>
      </c>
      <c r="J11" s="9">
        <f t="shared" si="0"/>
        <v>36367061</v>
      </c>
      <c r="K11" s="9">
        <f t="shared" si="0"/>
        <v>37979325</v>
      </c>
      <c r="L11" s="9">
        <f t="shared" si="0"/>
        <v>41491594</v>
      </c>
      <c r="M11" s="9">
        <f t="shared" si="0"/>
        <v>42057166</v>
      </c>
      <c r="N11" s="9">
        <f t="shared" si="0"/>
        <v>41363902</v>
      </c>
    </row>
    <row r="12" spans="1:14" ht="42.75" customHeight="1" x14ac:dyDescent="0.25">
      <c r="A12" s="11" t="s">
        <v>26</v>
      </c>
      <c r="B12" s="5" t="s">
        <v>16</v>
      </c>
      <c r="C12" s="3">
        <v>102548</v>
      </c>
      <c r="D12" s="3">
        <v>96904</v>
      </c>
      <c r="E12" s="3">
        <v>105403</v>
      </c>
      <c r="F12" s="3">
        <v>100406</v>
      </c>
      <c r="G12" s="3">
        <v>103022</v>
      </c>
      <c r="H12" s="3">
        <v>99630</v>
      </c>
      <c r="I12" s="3">
        <v>114999</v>
      </c>
      <c r="J12" s="3">
        <v>113394</v>
      </c>
      <c r="K12" s="3">
        <v>0</v>
      </c>
      <c r="L12" s="3">
        <v>0</v>
      </c>
      <c r="M12" s="3">
        <v>0</v>
      </c>
      <c r="N12" s="3">
        <v>0</v>
      </c>
    </row>
    <row r="13" spans="1:14" ht="48.75" customHeight="1" x14ac:dyDescent="0.25">
      <c r="A13" s="11" t="s">
        <v>27</v>
      </c>
      <c r="B13" s="5" t="s">
        <v>16</v>
      </c>
      <c r="C13" s="3">
        <v>65015</v>
      </c>
      <c r="D13" s="3">
        <v>61352</v>
      </c>
      <c r="E13" s="3">
        <v>66791</v>
      </c>
      <c r="F13" s="3">
        <v>64080</v>
      </c>
      <c r="G13" s="3">
        <v>74778</v>
      </c>
      <c r="H13" s="3">
        <v>79935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</row>
    <row r="14" spans="1:14" ht="24" customHeight="1" x14ac:dyDescent="0.25">
      <c r="A14" s="44" t="s">
        <v>18</v>
      </c>
      <c r="B14" s="45"/>
      <c r="C14" s="9">
        <f>C12+C13</f>
        <v>167563</v>
      </c>
      <c r="D14" s="9">
        <f t="shared" ref="D14:N14" si="1">D12+D13</f>
        <v>158256</v>
      </c>
      <c r="E14" s="9">
        <f t="shared" si="1"/>
        <v>172194</v>
      </c>
      <c r="F14" s="9">
        <f t="shared" si="1"/>
        <v>164486</v>
      </c>
      <c r="G14" s="9">
        <f t="shared" si="1"/>
        <v>177800</v>
      </c>
      <c r="H14" s="9">
        <f t="shared" si="1"/>
        <v>179565</v>
      </c>
      <c r="I14" s="9">
        <f t="shared" si="1"/>
        <v>114999</v>
      </c>
      <c r="J14" s="9">
        <f t="shared" si="1"/>
        <v>113394</v>
      </c>
      <c r="K14" s="9">
        <f t="shared" si="1"/>
        <v>0</v>
      </c>
      <c r="L14" s="9">
        <f t="shared" si="1"/>
        <v>0</v>
      </c>
      <c r="M14" s="9">
        <f t="shared" si="1"/>
        <v>0</v>
      </c>
      <c r="N14" s="9">
        <f t="shared" si="1"/>
        <v>0</v>
      </c>
    </row>
    <row r="15" spans="1:14" s="10" customFormat="1" ht="22.5" customHeight="1" x14ac:dyDescent="0.2">
      <c r="A15" s="44" t="s">
        <v>19</v>
      </c>
      <c r="B15" s="45"/>
      <c r="C15" s="9">
        <f>C11+C14</f>
        <v>42883500</v>
      </c>
      <c r="D15" s="9">
        <f t="shared" ref="D15:N15" si="2">D11+D14</f>
        <v>39990754</v>
      </c>
      <c r="E15" s="9">
        <f t="shared" si="2"/>
        <v>43070309</v>
      </c>
      <c r="F15" s="9">
        <f t="shared" si="2"/>
        <v>38904502</v>
      </c>
      <c r="G15" s="9">
        <f t="shared" si="2"/>
        <v>39392469</v>
      </c>
      <c r="H15" s="9">
        <f t="shared" si="2"/>
        <v>38038323</v>
      </c>
      <c r="I15" s="9">
        <f t="shared" si="2"/>
        <v>38441039</v>
      </c>
      <c r="J15" s="9">
        <f t="shared" si="2"/>
        <v>36480455</v>
      </c>
      <c r="K15" s="9">
        <f t="shared" si="2"/>
        <v>37979325</v>
      </c>
      <c r="L15" s="9">
        <f t="shared" si="2"/>
        <v>41491594</v>
      </c>
      <c r="M15" s="9">
        <f t="shared" si="2"/>
        <v>42057166</v>
      </c>
      <c r="N15" s="9">
        <f t="shared" si="2"/>
        <v>41363902</v>
      </c>
    </row>
  </sheetData>
  <mergeCells count="7">
    <mergeCell ref="A14:B14"/>
    <mergeCell ref="A15:B15"/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12"/>
  <sheetViews>
    <sheetView workbookViewId="0">
      <selection activeCell="B5" sqref="A5:XFD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47" t="s">
        <v>21</v>
      </c>
      <c r="B4" s="49" t="s">
        <v>22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ht="22.5" customHeight="1" x14ac:dyDescent="0.25">
      <c r="A5" s="48"/>
      <c r="B5" s="5" t="s">
        <v>14</v>
      </c>
      <c r="C5" s="3">
        <v>35751422</v>
      </c>
      <c r="D5" s="3">
        <v>32778268</v>
      </c>
      <c r="E5" s="3">
        <v>36011479</v>
      </c>
      <c r="F5" s="3">
        <v>33465710</v>
      </c>
      <c r="G5" s="3">
        <v>31995605</v>
      </c>
      <c r="H5" s="3">
        <v>32926138</v>
      </c>
      <c r="I5" s="3">
        <v>33836890</v>
      </c>
      <c r="J5" s="3">
        <v>32937826</v>
      </c>
      <c r="K5" s="3">
        <v>31745706</v>
      </c>
      <c r="L5" s="3">
        <v>35465660</v>
      </c>
      <c r="M5" s="3">
        <v>36990370</v>
      </c>
      <c r="N5" s="3">
        <v>37930764</v>
      </c>
    </row>
    <row r="6" spans="1:14" ht="22.5" customHeight="1" x14ac:dyDescent="0.25">
      <c r="A6" s="48"/>
      <c r="B6" s="5" t="s">
        <v>15</v>
      </c>
      <c r="C6" s="3">
        <v>2596815</v>
      </c>
      <c r="D6" s="3">
        <v>2403554</v>
      </c>
      <c r="E6" s="3">
        <v>2721806</v>
      </c>
      <c r="F6" s="3">
        <v>2460399</v>
      </c>
      <c r="G6" s="3">
        <v>2399685</v>
      </c>
      <c r="H6" s="3">
        <v>2241922</v>
      </c>
      <c r="I6" s="3">
        <v>2111428</v>
      </c>
      <c r="J6" s="3">
        <v>1696859</v>
      </c>
      <c r="K6" s="3">
        <v>1590902</v>
      </c>
      <c r="L6" s="3">
        <v>1674100</v>
      </c>
      <c r="M6" s="3">
        <v>1727325</v>
      </c>
      <c r="N6" s="3">
        <v>1721750</v>
      </c>
    </row>
    <row r="7" spans="1:14" ht="22.5" customHeight="1" x14ac:dyDescent="0.25">
      <c r="A7" s="48"/>
      <c r="B7" s="5" t="s">
        <v>16</v>
      </c>
      <c r="C7" s="3">
        <v>171839</v>
      </c>
      <c r="D7" s="3">
        <v>166767</v>
      </c>
      <c r="E7" s="3">
        <v>146423</v>
      </c>
      <c r="F7" s="3">
        <v>128363</v>
      </c>
      <c r="G7" s="3">
        <v>75969</v>
      </c>
      <c r="H7" s="3">
        <v>36428</v>
      </c>
      <c r="I7" s="3">
        <v>38822</v>
      </c>
      <c r="J7" s="3">
        <v>34866</v>
      </c>
      <c r="K7" s="3">
        <v>45641</v>
      </c>
      <c r="L7" s="3">
        <v>39892</v>
      </c>
      <c r="M7" s="3">
        <v>62413</v>
      </c>
      <c r="N7" s="3">
        <v>54244</v>
      </c>
    </row>
    <row r="8" spans="1:14" ht="22.5" customHeight="1" x14ac:dyDescent="0.25">
      <c r="A8" s="48"/>
      <c r="B8" s="5" t="s">
        <v>17</v>
      </c>
      <c r="C8" s="3">
        <v>144637</v>
      </c>
      <c r="D8" s="3">
        <v>143385</v>
      </c>
      <c r="E8" s="3">
        <v>130143</v>
      </c>
      <c r="F8" s="3">
        <v>113013</v>
      </c>
      <c r="G8" s="3">
        <v>97761</v>
      </c>
      <c r="H8" s="3">
        <v>94203</v>
      </c>
      <c r="I8" s="3">
        <v>99254</v>
      </c>
      <c r="J8" s="3">
        <v>102383</v>
      </c>
      <c r="K8" s="3">
        <v>87528</v>
      </c>
      <c r="L8" s="3">
        <v>87419</v>
      </c>
      <c r="M8" s="3">
        <v>113709</v>
      </c>
      <c r="N8" s="3">
        <v>131384</v>
      </c>
    </row>
    <row r="9" spans="1:14" ht="22.5" customHeight="1" x14ac:dyDescent="0.25">
      <c r="A9" s="48"/>
      <c r="B9" s="49" t="s">
        <v>23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</row>
    <row r="10" spans="1:14" ht="22.5" customHeight="1" x14ac:dyDescent="0.25">
      <c r="A10" s="48"/>
      <c r="B10" s="4"/>
      <c r="C10" s="3">
        <v>602598</v>
      </c>
      <c r="D10" s="3">
        <v>401093</v>
      </c>
      <c r="E10" s="3">
        <v>728070</v>
      </c>
      <c r="F10" s="3">
        <v>488921</v>
      </c>
      <c r="G10" s="3">
        <v>527241</v>
      </c>
      <c r="H10" s="3">
        <v>390483</v>
      </c>
      <c r="I10" s="3">
        <v>462554</v>
      </c>
      <c r="J10" s="3">
        <v>350916</v>
      </c>
      <c r="K10" s="3">
        <v>398826</v>
      </c>
      <c r="L10" s="3">
        <v>416615</v>
      </c>
      <c r="M10" s="3">
        <v>448902</v>
      </c>
      <c r="N10" s="3">
        <v>480851</v>
      </c>
    </row>
    <row r="11" spans="1:14" ht="22.5" customHeight="1" x14ac:dyDescent="0.25">
      <c r="A11" s="44" t="s">
        <v>18</v>
      </c>
      <c r="B11" s="45"/>
      <c r="C11" s="9">
        <f t="shared" ref="C11:N11" si="0">SUM(C5:C8,C10)</f>
        <v>39267311</v>
      </c>
      <c r="D11" s="9">
        <f t="shared" si="0"/>
        <v>35893067</v>
      </c>
      <c r="E11" s="9">
        <f t="shared" si="0"/>
        <v>39737921</v>
      </c>
      <c r="F11" s="9">
        <f t="shared" si="0"/>
        <v>36656406</v>
      </c>
      <c r="G11" s="9">
        <f t="shared" si="0"/>
        <v>35096261</v>
      </c>
      <c r="H11" s="9">
        <f t="shared" si="0"/>
        <v>35689174</v>
      </c>
      <c r="I11" s="9">
        <f t="shared" si="0"/>
        <v>36548948</v>
      </c>
      <c r="J11" s="9">
        <f t="shared" si="0"/>
        <v>35122850</v>
      </c>
      <c r="K11" s="9">
        <f t="shared" si="0"/>
        <v>33868603</v>
      </c>
      <c r="L11" s="9">
        <f t="shared" si="0"/>
        <v>37683686</v>
      </c>
      <c r="M11" s="9">
        <f t="shared" si="0"/>
        <v>39342719</v>
      </c>
      <c r="N11" s="9">
        <f t="shared" si="0"/>
        <v>40318993</v>
      </c>
    </row>
    <row r="12" spans="1:14" s="10" customFormat="1" ht="22.5" customHeight="1" x14ac:dyDescent="0.2">
      <c r="A12" s="44" t="s">
        <v>19</v>
      </c>
      <c r="B12" s="45"/>
      <c r="C12" s="9">
        <f>C11</f>
        <v>39267311</v>
      </c>
      <c r="D12" s="9">
        <f t="shared" ref="D12:M12" si="1">D11</f>
        <v>35893067</v>
      </c>
      <c r="E12" s="9">
        <f t="shared" si="1"/>
        <v>39737921</v>
      </c>
      <c r="F12" s="9">
        <f t="shared" si="1"/>
        <v>36656406</v>
      </c>
      <c r="G12" s="9">
        <f t="shared" si="1"/>
        <v>35096261</v>
      </c>
      <c r="H12" s="9">
        <f t="shared" si="1"/>
        <v>35689174</v>
      </c>
      <c r="I12" s="9">
        <f t="shared" si="1"/>
        <v>36548948</v>
      </c>
      <c r="J12" s="9">
        <f t="shared" si="1"/>
        <v>35122850</v>
      </c>
      <c r="K12" s="9">
        <f t="shared" si="1"/>
        <v>33868603</v>
      </c>
      <c r="L12" s="9">
        <f t="shared" si="1"/>
        <v>37683686</v>
      </c>
      <c r="M12" s="9">
        <f t="shared" si="1"/>
        <v>39342719</v>
      </c>
      <c r="N12" s="9">
        <f t="shared" ref="N12" si="2">N11</f>
        <v>40318993</v>
      </c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2"/>
  <sheetViews>
    <sheetView zoomScale="70" zoomScaleNormal="70" workbookViewId="0">
      <selection activeCell="N11" sqref="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46" t="s">
        <v>28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47" t="s">
        <v>29</v>
      </c>
      <c r="B4" s="49" t="s">
        <v>22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ht="22.5" customHeight="1" x14ac:dyDescent="0.25">
      <c r="A5" s="48"/>
      <c r="B5" s="5" t="s">
        <v>14</v>
      </c>
      <c r="C5" s="3">
        <v>36685196</v>
      </c>
      <c r="D5" s="3">
        <v>33011264</v>
      </c>
      <c r="E5" s="3">
        <v>36034692</v>
      </c>
      <c r="F5" s="3">
        <v>32115475</v>
      </c>
      <c r="G5" s="3">
        <v>32076838</v>
      </c>
      <c r="H5" s="3">
        <v>32066412</v>
      </c>
      <c r="I5" s="3">
        <v>35080871</v>
      </c>
      <c r="J5" s="3">
        <v>33436683</v>
      </c>
      <c r="K5" s="3">
        <v>31887460</v>
      </c>
      <c r="L5" s="3">
        <v>34611662</v>
      </c>
      <c r="M5" s="3">
        <v>35853515</v>
      </c>
      <c r="N5" s="3">
        <v>38722503</v>
      </c>
    </row>
    <row r="6" spans="1:14" ht="22.5" customHeight="1" x14ac:dyDescent="0.25">
      <c r="A6" s="48"/>
      <c r="B6" s="5" t="s">
        <v>15</v>
      </c>
      <c r="C6" s="3">
        <v>1688450</v>
      </c>
      <c r="D6" s="3">
        <v>1672363</v>
      </c>
      <c r="E6" s="3">
        <v>1703401</v>
      </c>
      <c r="F6" s="3">
        <v>1575705</v>
      </c>
      <c r="G6" s="3">
        <v>1667960</v>
      </c>
      <c r="H6" s="3">
        <v>1536921</v>
      </c>
      <c r="I6" s="3">
        <v>1729285</v>
      </c>
      <c r="J6" s="3">
        <v>1719482</v>
      </c>
      <c r="K6" s="3">
        <v>1678230</v>
      </c>
      <c r="L6" s="3">
        <v>1706482</v>
      </c>
      <c r="M6" s="3">
        <v>1752042</v>
      </c>
      <c r="N6" s="3">
        <v>1814508</v>
      </c>
    </row>
    <row r="7" spans="1:14" ht="22.5" customHeight="1" x14ac:dyDescent="0.25">
      <c r="A7" s="48"/>
      <c r="B7" s="5" t="s">
        <v>16</v>
      </c>
      <c r="C7" s="3">
        <v>42889</v>
      </c>
      <c r="D7" s="3">
        <v>38277</v>
      </c>
      <c r="E7" s="3">
        <v>36296</v>
      </c>
      <c r="F7" s="3">
        <v>35218</v>
      </c>
      <c r="G7" s="3">
        <v>34390</v>
      </c>
      <c r="H7" s="3">
        <v>27692</v>
      </c>
      <c r="I7" s="3">
        <v>126988</v>
      </c>
      <c r="J7" s="3">
        <v>182026</v>
      </c>
      <c r="K7" s="3">
        <v>220902</v>
      </c>
      <c r="L7" s="3">
        <v>287852</v>
      </c>
      <c r="M7" s="3">
        <v>330555</v>
      </c>
      <c r="N7" s="3">
        <v>263415</v>
      </c>
    </row>
    <row r="8" spans="1:14" ht="22.5" customHeight="1" x14ac:dyDescent="0.25">
      <c r="A8" s="48"/>
      <c r="B8" s="5" t="s">
        <v>17</v>
      </c>
      <c r="C8" s="3">
        <v>121361</v>
      </c>
      <c r="D8" s="3">
        <v>131503</v>
      </c>
      <c r="E8" s="3">
        <v>105012</v>
      </c>
      <c r="F8" s="3">
        <v>101390</v>
      </c>
      <c r="G8" s="3">
        <v>76929</v>
      </c>
      <c r="H8" s="3">
        <v>81163</v>
      </c>
      <c r="I8" s="3">
        <v>125322</v>
      </c>
      <c r="J8" s="3">
        <v>142717</v>
      </c>
      <c r="K8" s="3">
        <v>148147</v>
      </c>
      <c r="L8" s="3">
        <v>145132</v>
      </c>
      <c r="M8" s="3">
        <v>172023</v>
      </c>
      <c r="N8" s="3">
        <v>196210</v>
      </c>
    </row>
    <row r="9" spans="1:14" ht="22.5" customHeight="1" x14ac:dyDescent="0.25">
      <c r="A9" s="48"/>
      <c r="B9" s="49" t="s">
        <v>23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</row>
    <row r="10" spans="1:14" ht="22.5" customHeight="1" x14ac:dyDescent="0.25">
      <c r="A10" s="48"/>
      <c r="B10" s="4"/>
      <c r="C10" s="3">
        <v>473527</v>
      </c>
      <c r="D10" s="3">
        <v>502227</v>
      </c>
      <c r="E10" s="3">
        <f>12695+160812+70115+283369</f>
        <v>526991</v>
      </c>
      <c r="F10" s="3">
        <v>548204</v>
      </c>
      <c r="G10" s="3">
        <v>488279</v>
      </c>
      <c r="H10" s="3">
        <v>458460</v>
      </c>
      <c r="I10" s="3">
        <v>312241</v>
      </c>
      <c r="J10" s="3">
        <v>372536</v>
      </c>
      <c r="K10" s="3">
        <v>417273</v>
      </c>
      <c r="L10" s="3">
        <v>452187</v>
      </c>
      <c r="M10" s="3">
        <v>475762</v>
      </c>
      <c r="N10" s="3">
        <v>393225</v>
      </c>
    </row>
    <row r="11" spans="1:14" ht="22.5" customHeight="1" x14ac:dyDescent="0.25">
      <c r="A11" s="44" t="s">
        <v>18</v>
      </c>
      <c r="B11" s="45"/>
      <c r="C11" s="9">
        <f t="shared" ref="C11:N11" si="0">SUM(C5:C8,C10)</f>
        <v>39011423</v>
      </c>
      <c r="D11" s="9">
        <f t="shared" si="0"/>
        <v>35355634</v>
      </c>
      <c r="E11" s="9">
        <f t="shared" si="0"/>
        <v>38406392</v>
      </c>
      <c r="F11" s="9">
        <f t="shared" si="0"/>
        <v>34375992</v>
      </c>
      <c r="G11" s="9">
        <f t="shared" si="0"/>
        <v>34344396</v>
      </c>
      <c r="H11" s="9">
        <f t="shared" si="0"/>
        <v>34170648</v>
      </c>
      <c r="I11" s="9">
        <f t="shared" si="0"/>
        <v>37374707</v>
      </c>
      <c r="J11" s="9">
        <f t="shared" si="0"/>
        <v>35853444</v>
      </c>
      <c r="K11" s="9">
        <f t="shared" si="0"/>
        <v>34352012</v>
      </c>
      <c r="L11" s="9">
        <f t="shared" si="0"/>
        <v>37203315</v>
      </c>
      <c r="M11" s="9">
        <f t="shared" si="0"/>
        <v>38583897</v>
      </c>
      <c r="N11" s="9">
        <f t="shared" si="0"/>
        <v>41389861</v>
      </c>
    </row>
    <row r="12" spans="1:14" s="10" customFormat="1" ht="22.5" customHeight="1" x14ac:dyDescent="0.2">
      <c r="A12" s="44" t="s">
        <v>19</v>
      </c>
      <c r="B12" s="45"/>
      <c r="C12" s="9">
        <f>C11</f>
        <v>39011423</v>
      </c>
      <c r="D12" s="9">
        <f t="shared" ref="D12:N12" si="1">D11</f>
        <v>35355634</v>
      </c>
      <c r="E12" s="9">
        <f t="shared" si="1"/>
        <v>38406392</v>
      </c>
      <c r="F12" s="9">
        <f t="shared" si="1"/>
        <v>34375992</v>
      </c>
      <c r="G12" s="9">
        <f t="shared" si="1"/>
        <v>34344396</v>
      </c>
      <c r="H12" s="9">
        <f t="shared" si="1"/>
        <v>34170648</v>
      </c>
      <c r="I12" s="9">
        <f t="shared" si="1"/>
        <v>37374707</v>
      </c>
      <c r="J12" s="9">
        <f t="shared" si="1"/>
        <v>35853444</v>
      </c>
      <c r="K12" s="9">
        <f t="shared" si="1"/>
        <v>34352012</v>
      </c>
      <c r="L12" s="9">
        <f t="shared" si="1"/>
        <v>37203315</v>
      </c>
      <c r="M12" s="9">
        <f t="shared" si="1"/>
        <v>38583897</v>
      </c>
      <c r="N12" s="9">
        <f t="shared" si="1"/>
        <v>41389861</v>
      </c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12"/>
  <sheetViews>
    <sheetView zoomScale="70" zoomScaleNormal="70" workbookViewId="0">
      <selection activeCell="N10" sqref="N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46" t="s">
        <v>30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47" t="s">
        <v>29</v>
      </c>
      <c r="B4" s="49" t="s">
        <v>31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ht="22.5" customHeight="1" x14ac:dyDescent="0.25">
      <c r="A5" s="48"/>
      <c r="B5" s="5" t="s">
        <v>14</v>
      </c>
      <c r="C5" s="3">
        <f>38323960+3880160</f>
        <v>42204120</v>
      </c>
      <c r="D5" s="3">
        <f>34787871+3643552</f>
        <v>38431423</v>
      </c>
      <c r="E5" s="3">
        <f>38900778+3652989</f>
        <v>42553767</v>
      </c>
      <c r="F5" s="3">
        <f>35712409+2400841</f>
        <v>38113250</v>
      </c>
      <c r="G5" s="3">
        <f>35931725+1370196</f>
        <v>37301921</v>
      </c>
      <c r="H5" s="3">
        <f>36115299+1528075</f>
        <v>37643374</v>
      </c>
      <c r="I5" s="3">
        <f>36833459+1816620</f>
        <v>38650079</v>
      </c>
      <c r="J5" s="3">
        <f>36488531+1576249</f>
        <v>38064780</v>
      </c>
      <c r="K5" s="3">
        <f>34538910+1653441</f>
        <v>36192351</v>
      </c>
      <c r="L5" s="3">
        <f>39321805+3047163</f>
        <v>42368968</v>
      </c>
      <c r="M5" s="3">
        <f>39292165+3113482</f>
        <v>42405647</v>
      </c>
      <c r="N5" s="3">
        <f>40464351+4691292</f>
        <v>45155643</v>
      </c>
    </row>
    <row r="6" spans="1:14" ht="22.5" customHeight="1" x14ac:dyDescent="0.25">
      <c r="A6" s="48"/>
      <c r="B6" s="5" t="s">
        <v>15</v>
      </c>
      <c r="C6" s="3">
        <f>1790423+858504</f>
        <v>2648927</v>
      </c>
      <c r="D6" s="3">
        <f>1798475+964632</f>
        <v>2763107</v>
      </c>
      <c r="E6" s="3">
        <f>1950961+823909</f>
        <v>2774870</v>
      </c>
      <c r="F6" s="3">
        <f>1875495+643711</f>
        <v>2519206</v>
      </c>
      <c r="G6" s="3">
        <f>1945870+172395</f>
        <v>2118265</v>
      </c>
      <c r="H6" s="3">
        <f>1903576+112423</f>
        <v>2015999</v>
      </c>
      <c r="I6" s="3">
        <f>1817956+286020</f>
        <v>2103976</v>
      </c>
      <c r="J6" s="3">
        <f>1774428+198696</f>
        <v>1973124</v>
      </c>
      <c r="K6" s="3">
        <f>1626340+175500</f>
        <v>1801840</v>
      </c>
      <c r="L6" s="3">
        <f>1888044+332376</f>
        <v>2220420</v>
      </c>
      <c r="M6" s="3">
        <f>1864547+595629</f>
        <v>2460176</v>
      </c>
      <c r="N6" s="3">
        <f>1921554+807152</f>
        <v>2728706</v>
      </c>
    </row>
    <row r="7" spans="1:14" ht="22.5" customHeight="1" x14ac:dyDescent="0.25">
      <c r="A7" s="48"/>
      <c r="B7" s="5" t="s">
        <v>16</v>
      </c>
      <c r="C7" s="3">
        <f>286847+3592770+3182.9</f>
        <v>3882799.9</v>
      </c>
      <c r="D7" s="3">
        <f>295866+3474026+1836.1</f>
        <v>3771728.1</v>
      </c>
      <c r="E7" s="3">
        <f>263112+3279529</f>
        <v>3542641</v>
      </c>
      <c r="F7" s="3">
        <f>231023+2470193</f>
        <v>2701216</v>
      </c>
      <c r="G7" s="3">
        <f>196014+2435190</f>
        <v>2631204</v>
      </c>
      <c r="H7" s="3">
        <f>179869+2291116</f>
        <v>2470985</v>
      </c>
      <c r="I7" s="3">
        <f>181065+2134421+984</f>
        <v>2316470</v>
      </c>
      <c r="J7" s="3">
        <f>218101+2274871+1095</f>
        <v>2494067</v>
      </c>
      <c r="K7" s="3">
        <f>278293+1382+2139270</f>
        <v>2418945</v>
      </c>
      <c r="L7" s="3">
        <f>362405+692+2883787</f>
        <v>3246884</v>
      </c>
      <c r="M7" s="3">
        <f>321587+578+2793498</f>
        <v>3115663</v>
      </c>
      <c r="N7" s="3">
        <f>329001+3000590+410</f>
        <v>3330001</v>
      </c>
    </row>
    <row r="8" spans="1:14" ht="22.5" customHeight="1" x14ac:dyDescent="0.25">
      <c r="A8" s="48"/>
      <c r="B8" s="5" t="s">
        <v>17</v>
      </c>
      <c r="C8" s="3">
        <f>182742+861832</f>
        <v>1044574</v>
      </c>
      <c r="D8" s="3">
        <f>171400+794976</f>
        <v>966376</v>
      </c>
      <c r="E8" s="3">
        <f>217292+692893</f>
        <v>910185</v>
      </c>
      <c r="F8" s="3">
        <f>146743+662461</f>
        <v>809204</v>
      </c>
      <c r="G8" s="3">
        <f>129398+611614</f>
        <v>741012</v>
      </c>
      <c r="H8" s="3">
        <f>131477+631137</f>
        <v>762614</v>
      </c>
      <c r="I8" s="3">
        <f>118654+627008</f>
        <v>745662</v>
      </c>
      <c r="J8" s="3">
        <f>125925+654535</f>
        <v>780460</v>
      </c>
      <c r="K8" s="3">
        <f>123672+581152</f>
        <v>704824</v>
      </c>
      <c r="L8" s="3">
        <f>149152+612156</f>
        <v>761308</v>
      </c>
      <c r="M8" s="3">
        <f>161185+656242</f>
        <v>817427</v>
      </c>
      <c r="N8" s="3">
        <f>174231+677211</f>
        <v>851442</v>
      </c>
    </row>
    <row r="9" spans="1:14" ht="22.5" customHeight="1" x14ac:dyDescent="0.25">
      <c r="A9" s="48"/>
      <c r="B9" s="49" t="s">
        <v>32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</row>
    <row r="10" spans="1:14" ht="22.5" customHeight="1" x14ac:dyDescent="0.25">
      <c r="A10" s="48"/>
      <c r="B10" s="4"/>
      <c r="C10" s="3">
        <f>609511+245023</f>
        <v>854534</v>
      </c>
      <c r="D10" s="3">
        <f>513021+242162</f>
        <v>755183</v>
      </c>
      <c r="E10" s="3">
        <f>485694+217031</f>
        <v>702725</v>
      </c>
      <c r="F10" s="3">
        <f>439423+196166</f>
        <v>635589</v>
      </c>
      <c r="G10" s="3">
        <v>693064</v>
      </c>
      <c r="H10" s="3">
        <f>349556+288689</f>
        <v>638245</v>
      </c>
      <c r="I10" s="3">
        <f>434535+238316</f>
        <v>672851</v>
      </c>
      <c r="J10" s="3">
        <f>365244+217679</f>
        <v>582923</v>
      </c>
      <c r="K10" s="3">
        <f>364233+292916</f>
        <v>657149</v>
      </c>
      <c r="L10" s="3">
        <f>442632+263537</f>
        <v>706169</v>
      </c>
      <c r="M10" s="3">
        <f>392434+204616</f>
        <v>597050</v>
      </c>
      <c r="N10" s="3">
        <f>509578+249143</f>
        <v>758721</v>
      </c>
    </row>
    <row r="11" spans="1:14" ht="22.5" customHeight="1" x14ac:dyDescent="0.25">
      <c r="A11" s="44" t="s">
        <v>18</v>
      </c>
      <c r="B11" s="45"/>
      <c r="C11" s="9">
        <f t="shared" ref="C11:N11" si="0">SUM(C5:C8,C10)</f>
        <v>50634954.899999999</v>
      </c>
      <c r="D11" s="9">
        <f t="shared" si="0"/>
        <v>46687817.100000001</v>
      </c>
      <c r="E11" s="9">
        <f t="shared" si="0"/>
        <v>50484188</v>
      </c>
      <c r="F11" s="9">
        <f t="shared" si="0"/>
        <v>44778465</v>
      </c>
      <c r="G11" s="9">
        <f t="shared" ref="G11" si="1">SUM(G5:G8,G10)</f>
        <v>43485466</v>
      </c>
      <c r="H11" s="9">
        <f t="shared" si="0"/>
        <v>43531217</v>
      </c>
      <c r="I11" s="9">
        <f t="shared" ref="I11:J11" si="2">SUM(I5:I8,I10)</f>
        <v>44489038</v>
      </c>
      <c r="J11" s="9">
        <f t="shared" si="2"/>
        <v>43895354</v>
      </c>
      <c r="K11" s="9">
        <f t="shared" si="0"/>
        <v>41775109</v>
      </c>
      <c r="L11" s="9">
        <f t="shared" si="0"/>
        <v>49303749</v>
      </c>
      <c r="M11" s="9">
        <f t="shared" si="0"/>
        <v>49395963</v>
      </c>
      <c r="N11" s="9">
        <f t="shared" si="0"/>
        <v>52824513</v>
      </c>
    </row>
    <row r="12" spans="1:14" s="10" customFormat="1" ht="22.5" customHeight="1" x14ac:dyDescent="0.2">
      <c r="A12" s="44" t="s">
        <v>19</v>
      </c>
      <c r="B12" s="45"/>
      <c r="C12" s="9">
        <f>C11</f>
        <v>50634954.899999999</v>
      </c>
      <c r="D12" s="9">
        <f t="shared" ref="D12:N12" si="3">D11</f>
        <v>46687817.100000001</v>
      </c>
      <c r="E12" s="9">
        <f t="shared" si="3"/>
        <v>50484188</v>
      </c>
      <c r="F12" s="9">
        <f t="shared" si="3"/>
        <v>44778465</v>
      </c>
      <c r="G12" s="9">
        <f t="shared" ref="G12" si="4">G11</f>
        <v>43485466</v>
      </c>
      <c r="H12" s="9">
        <f t="shared" si="3"/>
        <v>43531217</v>
      </c>
      <c r="I12" s="9">
        <f t="shared" ref="I12:J12" si="5">I11</f>
        <v>44489038</v>
      </c>
      <c r="J12" s="9">
        <f t="shared" si="5"/>
        <v>43895354</v>
      </c>
      <c r="K12" s="9">
        <f t="shared" si="3"/>
        <v>41775109</v>
      </c>
      <c r="L12" s="9">
        <f t="shared" si="3"/>
        <v>49303749</v>
      </c>
      <c r="M12" s="9">
        <f t="shared" si="3"/>
        <v>49395963</v>
      </c>
      <c r="N12" s="9">
        <f t="shared" si="3"/>
        <v>52824513</v>
      </c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12"/>
  <sheetViews>
    <sheetView topLeftCell="C1" zoomScale="98" zoomScaleNormal="98" workbookViewId="0">
      <selection activeCell="B9" sqref="B9:N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47" t="s">
        <v>29</v>
      </c>
      <c r="B4" s="49" t="s">
        <v>31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ht="22.5" customHeight="1" x14ac:dyDescent="0.25">
      <c r="A5" s="48"/>
      <c r="B5" s="5" t="s">
        <v>14</v>
      </c>
      <c r="C5" s="3">
        <f>39162672+4799340</f>
        <v>43962012</v>
      </c>
      <c r="D5" s="3">
        <f>36836632+3709658</f>
        <v>40546290</v>
      </c>
      <c r="E5" s="3">
        <f>41435064+4008364</f>
        <v>45443428</v>
      </c>
      <c r="F5" s="3">
        <f>37294376+2498896</f>
        <v>39793272</v>
      </c>
      <c r="G5" s="3">
        <f>35249393+1161052+46904+386387</f>
        <v>36843736</v>
      </c>
      <c r="H5" s="3">
        <f>35582092+1425360</f>
        <v>37007452</v>
      </c>
      <c r="I5" s="3">
        <f>38062380+1874014</f>
        <v>39936394</v>
      </c>
      <c r="J5" s="3">
        <f>37600623+961935</f>
        <v>38562558</v>
      </c>
      <c r="K5" s="3">
        <f>35031245+1775997</f>
        <v>36807242</v>
      </c>
      <c r="L5" s="3">
        <f>39256619+2965929</f>
        <v>42222548</v>
      </c>
      <c r="M5" s="3">
        <f>39263747+3655338</f>
        <v>42919085</v>
      </c>
      <c r="N5" s="3">
        <f>41588466+4994282</f>
        <v>46582748</v>
      </c>
    </row>
    <row r="6" spans="1:14" ht="22.5" customHeight="1" x14ac:dyDescent="0.25">
      <c r="A6" s="48"/>
      <c r="B6" s="5" t="s">
        <v>15</v>
      </c>
      <c r="C6" s="3">
        <f>1928307+860919</f>
        <v>2789226</v>
      </c>
      <c r="D6" s="3">
        <f>1813203+837203</f>
        <v>2650406</v>
      </c>
      <c r="E6" s="3">
        <f>2049088+600865</f>
        <v>2649953</v>
      </c>
      <c r="F6" s="3">
        <f>1889755+437398</f>
        <v>2327153</v>
      </c>
      <c r="G6" s="3">
        <f>1661086+139300+133929</f>
        <v>1934315</v>
      </c>
      <c r="H6" s="3">
        <f>1656024+219037</f>
        <v>1875061</v>
      </c>
      <c r="I6" s="3">
        <f>1782941+185612</f>
        <v>1968553</v>
      </c>
      <c r="J6" s="3">
        <f>1577486+161244</f>
        <v>1738730</v>
      </c>
      <c r="K6" s="3">
        <f>1529648+84863</f>
        <v>1614511</v>
      </c>
      <c r="L6" s="3">
        <f>1993413+446374</f>
        <v>2439787</v>
      </c>
      <c r="M6" s="3">
        <f>1879101+615366</f>
        <v>2494467</v>
      </c>
      <c r="N6" s="3">
        <f>1982541+783544</f>
        <v>2766085</v>
      </c>
    </row>
    <row r="7" spans="1:14" ht="22.5" customHeight="1" x14ac:dyDescent="0.25">
      <c r="A7" s="48"/>
      <c r="B7" s="5" t="s">
        <v>16</v>
      </c>
      <c r="C7" s="3">
        <f>276809+3130018+1782</f>
        <v>3408609</v>
      </c>
      <c r="D7" s="3">
        <f>258647+3033154+2284</f>
        <v>3294085</v>
      </c>
      <c r="E7" s="3">
        <f>192140+3110368+2945</f>
        <v>3305453</v>
      </c>
      <c r="F7" s="3">
        <f>1693936+2519646+4158</f>
        <v>4217740</v>
      </c>
      <c r="G7" s="3">
        <f>156829+1422531+633177+1462</f>
        <v>2213999</v>
      </c>
      <c r="H7" s="3">
        <f>153452+1834713+4052</f>
        <v>1992217</v>
      </c>
      <c r="I7" s="3">
        <f>131145+1705095+3452</f>
        <v>1839692</v>
      </c>
      <c r="J7" s="3">
        <f>146109+2383753+3770</f>
        <v>2533632</v>
      </c>
      <c r="K7" s="3">
        <f>139037+2062342+7</f>
        <v>2201386</v>
      </c>
      <c r="L7" s="3">
        <f>592108+2142448+661</f>
        <v>2735217</v>
      </c>
      <c r="M7" s="3">
        <f>452359+2916819+880</f>
        <v>3370058</v>
      </c>
      <c r="N7" s="3">
        <f>438441+2151+3109705</f>
        <v>3550297</v>
      </c>
    </row>
    <row r="8" spans="1:14" ht="22.5" customHeight="1" x14ac:dyDescent="0.25">
      <c r="A8" s="48"/>
      <c r="B8" s="5" t="s">
        <v>17</v>
      </c>
      <c r="C8" s="3">
        <f>193954+681166</f>
        <v>875120</v>
      </c>
      <c r="D8" s="3">
        <f>179400+668768</f>
        <v>848168</v>
      </c>
      <c r="E8" s="3">
        <f>186096+634025</f>
        <v>820121</v>
      </c>
      <c r="F8" s="3">
        <f>151638+596146</f>
        <v>747784</v>
      </c>
      <c r="G8" s="3">
        <f>125537+40771+485225+20299</f>
        <v>671832</v>
      </c>
      <c r="H8" s="3">
        <f>127833+496348</f>
        <v>624181</v>
      </c>
      <c r="I8" s="3">
        <f>144922+601960</f>
        <v>746882</v>
      </c>
      <c r="J8" s="3">
        <f>138636+571877</f>
        <v>710513</v>
      </c>
      <c r="K8" s="3">
        <f>124537+549513</f>
        <v>674050</v>
      </c>
      <c r="L8" s="3">
        <f>148129+541871</f>
        <v>690000</v>
      </c>
      <c r="M8" s="3">
        <f>174848+585990</f>
        <v>760838</v>
      </c>
      <c r="N8" s="3">
        <f>194619+599907</f>
        <v>794526</v>
      </c>
    </row>
    <row r="9" spans="1:14" ht="22.5" customHeight="1" x14ac:dyDescent="0.25">
      <c r="A9" s="48"/>
      <c r="B9" s="49" t="s">
        <v>32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</row>
    <row r="10" spans="1:14" ht="22.5" customHeight="1" x14ac:dyDescent="0.25">
      <c r="A10" s="48"/>
      <c r="B10" s="4"/>
      <c r="C10" s="3">
        <f>647372+264724</f>
        <v>912096</v>
      </c>
      <c r="D10" s="3">
        <f>533638+249580</f>
        <v>783218</v>
      </c>
      <c r="E10" s="3">
        <f>542558+250046</f>
        <v>792604</v>
      </c>
      <c r="F10" s="3">
        <f>463541+198988</f>
        <v>662529</v>
      </c>
      <c r="G10" s="3">
        <f>376961+193628+51284</f>
        <v>621873</v>
      </c>
      <c r="H10" s="3">
        <f>444782+286371</f>
        <v>731153</v>
      </c>
      <c r="I10" s="3">
        <f>385650+205596</f>
        <v>591246</v>
      </c>
      <c r="J10" s="3">
        <f>372141+206467</f>
        <v>578608</v>
      </c>
      <c r="K10" s="3">
        <f>389645+218247</f>
        <v>607892</v>
      </c>
      <c r="L10" s="3">
        <f>398407+308986</f>
        <v>707393</v>
      </c>
      <c r="M10" s="3">
        <f>454052+237862</f>
        <v>691914</v>
      </c>
      <c r="N10" s="3">
        <f>397692+286111</f>
        <v>683803</v>
      </c>
    </row>
    <row r="11" spans="1:14" ht="22.5" customHeight="1" x14ac:dyDescent="0.25">
      <c r="A11" s="44" t="s">
        <v>18</v>
      </c>
      <c r="B11" s="45"/>
      <c r="C11" s="9">
        <f t="shared" ref="C11:N11" si="0">SUM(C5:C8,C10)</f>
        <v>51947063</v>
      </c>
      <c r="D11" s="9">
        <f t="shared" si="0"/>
        <v>48122167</v>
      </c>
      <c r="E11" s="9">
        <f t="shared" si="0"/>
        <v>53011559</v>
      </c>
      <c r="F11" s="9">
        <f t="shared" si="0"/>
        <v>47748478</v>
      </c>
      <c r="G11" s="9">
        <f t="shared" si="0"/>
        <v>42285755</v>
      </c>
      <c r="H11" s="9">
        <f t="shared" si="0"/>
        <v>42230064</v>
      </c>
      <c r="I11" s="9">
        <f t="shared" si="0"/>
        <v>45082767</v>
      </c>
      <c r="J11" s="9">
        <f t="shared" si="0"/>
        <v>44124041</v>
      </c>
      <c r="K11" s="9">
        <f t="shared" si="0"/>
        <v>41905081</v>
      </c>
      <c r="L11" s="9">
        <f t="shared" si="0"/>
        <v>48794945</v>
      </c>
      <c r="M11" s="9">
        <f t="shared" si="0"/>
        <v>50236362</v>
      </c>
      <c r="N11" s="9">
        <f t="shared" si="0"/>
        <v>54377459</v>
      </c>
    </row>
    <row r="12" spans="1:14" s="10" customFormat="1" ht="22.5" customHeight="1" x14ac:dyDescent="0.2">
      <c r="A12" s="44" t="s">
        <v>19</v>
      </c>
      <c r="B12" s="45"/>
      <c r="C12" s="9">
        <f>C11</f>
        <v>51947063</v>
      </c>
      <c r="D12" s="9">
        <f t="shared" ref="D12:N12" si="1">D11</f>
        <v>48122167</v>
      </c>
      <c r="E12" s="9">
        <f t="shared" si="1"/>
        <v>53011559</v>
      </c>
      <c r="F12" s="9">
        <f t="shared" si="1"/>
        <v>47748478</v>
      </c>
      <c r="G12" s="9">
        <f t="shared" si="1"/>
        <v>42285755</v>
      </c>
      <c r="H12" s="9">
        <f t="shared" si="1"/>
        <v>42230064</v>
      </c>
      <c r="I12" s="9">
        <f t="shared" si="1"/>
        <v>45082767</v>
      </c>
      <c r="J12" s="9">
        <f t="shared" si="1"/>
        <v>44124041</v>
      </c>
      <c r="K12" s="9">
        <f t="shared" si="1"/>
        <v>41905081</v>
      </c>
      <c r="L12" s="9">
        <f t="shared" si="1"/>
        <v>48794945</v>
      </c>
      <c r="M12" s="9">
        <f t="shared" si="1"/>
        <v>50236362</v>
      </c>
      <c r="N12" s="9">
        <f t="shared" si="1"/>
        <v>54377459</v>
      </c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3"/>
  <sheetViews>
    <sheetView zoomScale="70" zoomScaleNormal="70" workbookViewId="0">
      <selection activeCell="B9" sqref="B9:N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5" width="9.140625" style="14"/>
    <col min="16" max="16" width="9.140625" style="1"/>
    <col min="17" max="17" width="11.5703125" style="13" bestFit="1" customWidth="1"/>
    <col min="18" max="16384" width="9.140625" style="1"/>
  </cols>
  <sheetData>
    <row r="2" spans="1:17" ht="42.75" customHeight="1" x14ac:dyDescent="0.25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7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15"/>
      <c r="Q3" s="15"/>
    </row>
    <row r="4" spans="1:17" ht="22.5" customHeight="1" x14ac:dyDescent="0.25">
      <c r="A4" s="47" t="s">
        <v>29</v>
      </c>
      <c r="B4" s="49" t="s">
        <v>31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  <c r="Q4" s="14"/>
    </row>
    <row r="5" spans="1:17" ht="22.5" customHeight="1" x14ac:dyDescent="0.25">
      <c r="A5" s="48"/>
      <c r="B5" s="5" t="s">
        <v>14</v>
      </c>
      <c r="C5" s="3">
        <f>41115038+4756909</f>
        <v>45871947</v>
      </c>
      <c r="D5" s="3">
        <f>37351430+4078454</f>
        <v>41429884</v>
      </c>
      <c r="E5" s="3">
        <f>42775648+3944874</f>
        <v>46720522</v>
      </c>
      <c r="F5" s="3">
        <f>38541022+2441835</f>
        <v>40982857</v>
      </c>
      <c r="G5" s="3">
        <f>37087959+1820893</f>
        <v>38908852</v>
      </c>
      <c r="H5" s="3">
        <f>36083444+1665125</f>
        <v>37748569</v>
      </c>
      <c r="I5" s="3">
        <f>37076171+1837478</f>
        <v>38913649</v>
      </c>
      <c r="J5" s="3">
        <f>38794914+1471310</f>
        <v>40266224</v>
      </c>
      <c r="K5" s="3">
        <f>37802828+2079186</f>
        <v>39882014</v>
      </c>
      <c r="L5" s="3">
        <f>39266144+2620698</f>
        <v>41886842</v>
      </c>
      <c r="M5" s="3">
        <f>39660034+3617073</f>
        <v>43277107</v>
      </c>
      <c r="N5" s="3">
        <f>40615436+4702433</f>
        <v>45317869</v>
      </c>
      <c r="O5" s="14">
        <f>N5/M5</f>
        <v>1.0471556936557704</v>
      </c>
      <c r="Q5" s="12">
        <f>AVERAGE(C5:N5)</f>
        <v>41767194.666666664</v>
      </c>
    </row>
    <row r="6" spans="1:17" ht="22.5" customHeight="1" x14ac:dyDescent="0.25">
      <c r="A6" s="48"/>
      <c r="B6" s="5" t="s">
        <v>15</v>
      </c>
      <c r="C6" s="3">
        <f>1932957+696619</f>
        <v>2629576</v>
      </c>
      <c r="D6" s="3">
        <f>1804224+645567</f>
        <v>2449791</v>
      </c>
      <c r="E6" s="3">
        <f>2009457+500969</f>
        <v>2510426</v>
      </c>
      <c r="F6" s="3">
        <f>1737826+330177</f>
        <v>2068003</v>
      </c>
      <c r="G6" s="3">
        <f>1624735+137437</f>
        <v>1762172</v>
      </c>
      <c r="H6" s="3">
        <f>1757405+150690</f>
        <v>1908095</v>
      </c>
      <c r="I6" s="3">
        <f>1885102+186284</f>
        <v>2071386</v>
      </c>
      <c r="J6" s="3">
        <f>1891334+198517</f>
        <v>2089851</v>
      </c>
      <c r="K6" s="3">
        <f>2013376+283548</f>
        <v>2296924</v>
      </c>
      <c r="L6" s="3">
        <f>2012539+325747</f>
        <v>2338286</v>
      </c>
      <c r="M6" s="3">
        <f>1924346+511577</f>
        <v>2435923</v>
      </c>
      <c r="N6" s="3">
        <f>1920401+797041</f>
        <v>2717442</v>
      </c>
      <c r="O6" s="14">
        <f t="shared" ref="O6:O8" si="0">N6/M6</f>
        <v>1.1155697450206759</v>
      </c>
      <c r="Q6" s="12">
        <f t="shared" ref="Q6:Q10" si="1">AVERAGE(C6:N6)</f>
        <v>2273156.25</v>
      </c>
    </row>
    <row r="7" spans="1:17" ht="22.5" customHeight="1" x14ac:dyDescent="0.25">
      <c r="A7" s="48"/>
      <c r="B7" s="5" t="s">
        <v>16</v>
      </c>
      <c r="C7" s="3">
        <f>288506+3231714+821</f>
        <v>3521041</v>
      </c>
      <c r="D7" s="3">
        <f>366063+2821069+722</f>
        <v>3187854</v>
      </c>
      <c r="E7" s="3">
        <f>365932+2648084+4762</f>
        <v>3018778</v>
      </c>
      <c r="F7" s="3">
        <f>398475+753+2403033</f>
        <v>2802261</v>
      </c>
      <c r="G7" s="3">
        <f>310970+1582247+1301</f>
        <v>1894518</v>
      </c>
      <c r="H7" s="3">
        <f>358855+1660037+1721</f>
        <v>2020613</v>
      </c>
      <c r="I7" s="3">
        <f>248237+2046281+1841</f>
        <v>2296359</v>
      </c>
      <c r="J7" s="3">
        <f>308643+1724895+663</f>
        <v>2034201</v>
      </c>
      <c r="K7" s="3">
        <f>386360+1911375+1518</f>
        <v>2299253</v>
      </c>
      <c r="L7" s="3">
        <f>421466+2310307+1549</f>
        <v>2733322</v>
      </c>
      <c r="M7" s="3">
        <f>451497+2374286+1173</f>
        <v>2826956</v>
      </c>
      <c r="N7" s="3">
        <f>415357+2876403+958</f>
        <v>3292718</v>
      </c>
      <c r="O7" s="14">
        <f t="shared" si="0"/>
        <v>1.1647574281311772</v>
      </c>
      <c r="Q7" s="12">
        <f t="shared" si="1"/>
        <v>2660656.1666666665</v>
      </c>
    </row>
    <row r="8" spans="1:17" ht="22.5" customHeight="1" x14ac:dyDescent="0.25">
      <c r="A8" s="48"/>
      <c r="B8" s="5" t="s">
        <v>17</v>
      </c>
      <c r="C8" s="3">
        <f>204521+531174</f>
        <v>735695</v>
      </c>
      <c r="D8" s="3">
        <f>203628+507189</f>
        <v>710817</v>
      </c>
      <c r="E8" s="3">
        <f>170773+454707</f>
        <v>625480</v>
      </c>
      <c r="F8" s="3">
        <f>158872+445588</f>
        <v>604460</v>
      </c>
      <c r="G8" s="3">
        <f>127488+426441</f>
        <v>553929</v>
      </c>
      <c r="H8" s="3">
        <f>126438+420707</f>
        <v>547145</v>
      </c>
      <c r="I8" s="3">
        <f>124681+445680</f>
        <v>570361</v>
      </c>
      <c r="J8" s="3">
        <f>109809+462345</f>
        <v>572154</v>
      </c>
      <c r="K8" s="3">
        <f>126649+408724</f>
        <v>535373</v>
      </c>
      <c r="L8" s="3">
        <f>146818+436268</f>
        <v>583086</v>
      </c>
      <c r="M8" s="3">
        <f>157977+502128</f>
        <v>660105</v>
      </c>
      <c r="N8" s="3">
        <f>184584+482983</f>
        <v>667567</v>
      </c>
      <c r="O8" s="14">
        <f t="shared" si="0"/>
        <v>1.0113042622007105</v>
      </c>
      <c r="Q8" s="12">
        <f t="shared" si="1"/>
        <v>613847.66666666663</v>
      </c>
    </row>
    <row r="9" spans="1:17" ht="22.5" customHeight="1" x14ac:dyDescent="0.25">
      <c r="A9" s="48"/>
      <c r="B9" s="49" t="s">
        <v>32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Q9" s="12"/>
    </row>
    <row r="10" spans="1:17" ht="22.5" customHeight="1" x14ac:dyDescent="0.25">
      <c r="A10" s="48"/>
      <c r="B10" s="4"/>
      <c r="C10" s="3">
        <f>647089+278152</f>
        <v>925241</v>
      </c>
      <c r="D10" s="3">
        <f>559664+281179</f>
        <v>840843</v>
      </c>
      <c r="E10" s="3">
        <f>422652+241693</f>
        <v>664345</v>
      </c>
      <c r="F10" s="3">
        <f>440257+210811</f>
        <v>651068</v>
      </c>
      <c r="G10" s="3">
        <f>347016+290114</f>
        <v>637130</v>
      </c>
      <c r="H10" s="3">
        <f>429344+243519</f>
        <v>672863</v>
      </c>
      <c r="I10" s="3">
        <f>372846+188788</f>
        <v>561634</v>
      </c>
      <c r="J10" s="3">
        <f>335672+192304</f>
        <v>527976</v>
      </c>
      <c r="K10" s="3">
        <f>370873+265921</f>
        <v>636794</v>
      </c>
      <c r="L10" s="3">
        <f>379081+223751</f>
        <v>602832</v>
      </c>
      <c r="M10" s="3">
        <f>392588+186972</f>
        <v>579560</v>
      </c>
      <c r="N10" s="3">
        <f>418717+213287</f>
        <v>632004</v>
      </c>
      <c r="O10" s="14">
        <f>N10/M10</f>
        <v>1.0904893367382151</v>
      </c>
      <c r="Q10" s="12">
        <f t="shared" si="1"/>
        <v>661024.16666666663</v>
      </c>
    </row>
    <row r="11" spans="1:17" ht="22.5" customHeight="1" x14ac:dyDescent="0.25">
      <c r="A11" s="44" t="s">
        <v>18</v>
      </c>
      <c r="B11" s="45"/>
      <c r="C11" s="9">
        <f t="shared" ref="C11:N11" si="2">SUM(C5:C8,C10)</f>
        <v>53683500</v>
      </c>
      <c r="D11" s="9">
        <f t="shared" si="2"/>
        <v>48619189</v>
      </c>
      <c r="E11" s="9">
        <f t="shared" si="2"/>
        <v>53539551</v>
      </c>
      <c r="F11" s="9">
        <f t="shared" si="2"/>
        <v>47108649</v>
      </c>
      <c r="G11" s="9">
        <f t="shared" si="2"/>
        <v>43756601</v>
      </c>
      <c r="H11" s="9">
        <f t="shared" si="2"/>
        <v>42897285</v>
      </c>
      <c r="I11" s="9">
        <f t="shared" si="2"/>
        <v>44413389</v>
      </c>
      <c r="J11" s="9">
        <f t="shared" si="2"/>
        <v>45490406</v>
      </c>
      <c r="K11" s="9">
        <f t="shared" si="2"/>
        <v>45650358</v>
      </c>
      <c r="L11" s="9">
        <f t="shared" si="2"/>
        <v>48144368</v>
      </c>
      <c r="M11" s="9">
        <f t="shared" si="2"/>
        <v>49779651</v>
      </c>
      <c r="N11" s="9">
        <f t="shared" si="2"/>
        <v>52627600</v>
      </c>
      <c r="Q11" s="14"/>
    </row>
    <row r="12" spans="1:17" s="10" customFormat="1" ht="22.5" customHeight="1" x14ac:dyDescent="0.25">
      <c r="A12" s="44" t="s">
        <v>19</v>
      </c>
      <c r="B12" s="45"/>
      <c r="C12" s="9">
        <f>C11</f>
        <v>53683500</v>
      </c>
      <c r="D12" s="9">
        <f t="shared" ref="D12:N12" si="3">D11</f>
        <v>48619189</v>
      </c>
      <c r="E12" s="9">
        <f t="shared" si="3"/>
        <v>53539551</v>
      </c>
      <c r="F12" s="9">
        <f t="shared" si="3"/>
        <v>47108649</v>
      </c>
      <c r="G12" s="9">
        <f t="shared" si="3"/>
        <v>43756601</v>
      </c>
      <c r="H12" s="9">
        <f t="shared" si="3"/>
        <v>42897285</v>
      </c>
      <c r="I12" s="9">
        <f t="shared" si="3"/>
        <v>44413389</v>
      </c>
      <c r="J12" s="9">
        <f t="shared" si="3"/>
        <v>45490406</v>
      </c>
      <c r="K12" s="9">
        <f t="shared" si="3"/>
        <v>45650358</v>
      </c>
      <c r="L12" s="9">
        <f t="shared" si="3"/>
        <v>48144368</v>
      </c>
      <c r="M12" s="9">
        <f t="shared" si="3"/>
        <v>49779651</v>
      </c>
      <c r="N12" s="9">
        <f t="shared" si="3"/>
        <v>52627600</v>
      </c>
      <c r="O12" s="14"/>
      <c r="Q12" s="16"/>
    </row>
    <row r="13" spans="1:17" ht="22.5" customHeight="1" x14ac:dyDescent="0.25">
      <c r="Q13" s="14"/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W12"/>
  <sheetViews>
    <sheetView zoomScale="75" zoomScaleNormal="75" workbookViewId="0">
      <selection activeCell="W10" sqref="W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5.85546875" style="1" hidden="1" customWidth="1"/>
    <col min="8" max="8" width="17.85546875" style="1" customWidth="1"/>
    <col min="9" max="9" width="17.85546875" style="1" hidden="1" customWidth="1"/>
    <col min="10" max="10" width="18.42578125" style="1" customWidth="1"/>
    <col min="11" max="11" width="18.42578125" style="1" hidden="1" customWidth="1"/>
    <col min="12" max="12" width="19.85546875" style="1" customWidth="1"/>
    <col min="13" max="13" width="19.85546875" style="1" hidden="1" customWidth="1"/>
    <col min="14" max="14" width="21" style="1" customWidth="1"/>
    <col min="15" max="15" width="21" style="1" hidden="1" customWidth="1"/>
    <col min="16" max="16" width="22.140625" style="1" customWidth="1"/>
    <col min="17" max="17" width="22.140625" style="1" hidden="1" customWidth="1"/>
    <col min="18" max="18" width="22.42578125" style="1" customWidth="1"/>
    <col min="19" max="19" width="22.42578125" style="1" hidden="1" customWidth="1"/>
    <col min="20" max="20" width="24.28515625" style="1" customWidth="1"/>
    <col min="21" max="21" width="24.28515625" style="1" hidden="1" customWidth="1"/>
    <col min="22" max="22" width="24.28515625" style="1" customWidth="1"/>
    <col min="23" max="23" width="12.7109375" style="14" bestFit="1" customWidth="1"/>
    <col min="24" max="16384" width="9.140625" style="1"/>
  </cols>
  <sheetData>
    <row r="2" spans="1:23" ht="42.75" customHeight="1" x14ac:dyDescent="0.25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3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/>
      <c r="H3" s="8" t="s">
        <v>6</v>
      </c>
      <c r="I3" s="8"/>
      <c r="J3" s="8" t="s">
        <v>7</v>
      </c>
      <c r="K3" s="8"/>
      <c r="L3" s="8" t="s">
        <v>8</v>
      </c>
      <c r="M3" s="8"/>
      <c r="N3" s="8" t="s">
        <v>9</v>
      </c>
      <c r="O3" s="8"/>
      <c r="P3" s="8" t="s">
        <v>10</v>
      </c>
      <c r="Q3" s="8"/>
      <c r="R3" s="8" t="s">
        <v>11</v>
      </c>
      <c r="S3" s="8"/>
      <c r="T3" s="8" t="s">
        <v>12</v>
      </c>
      <c r="U3" s="8"/>
      <c r="V3" s="8" t="s">
        <v>13</v>
      </c>
      <c r="W3" s="15"/>
    </row>
    <row r="4" spans="1:23" ht="22.5" customHeight="1" x14ac:dyDescent="0.25">
      <c r="A4" s="47" t="s">
        <v>36</v>
      </c>
      <c r="B4" s="49" t="s">
        <v>31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1"/>
    </row>
    <row r="5" spans="1:23" ht="22.5" customHeight="1" x14ac:dyDescent="0.25">
      <c r="A5" s="48"/>
      <c r="B5" s="5" t="s">
        <v>14</v>
      </c>
      <c r="C5" s="3">
        <f>38149922+4312999</f>
        <v>42462921</v>
      </c>
      <c r="D5" s="3">
        <f>36136358+3673191</f>
        <v>39809549</v>
      </c>
      <c r="E5" s="3">
        <f>38031530+3036018</f>
        <v>41067548</v>
      </c>
      <c r="F5" s="3">
        <f>34831649+2726516</f>
        <v>37558165</v>
      </c>
      <c r="G5" s="3">
        <v>0.94939335244490153</v>
      </c>
      <c r="H5" s="3">
        <f>31757823+1635295</f>
        <v>33393118</v>
      </c>
      <c r="I5" s="3">
        <v>0.97017945941967143</v>
      </c>
      <c r="J5" s="3">
        <f>30861113+1247149</f>
        <v>32108262</v>
      </c>
      <c r="K5" s="3">
        <v>1.0308642163362538</v>
      </c>
      <c r="L5" s="3">
        <f>32451358+1778255</f>
        <v>34229613</v>
      </c>
      <c r="M5" s="3">
        <v>1.034758369743223</v>
      </c>
      <c r="N5" s="3">
        <f>33136349+1548924</f>
        <v>34685273</v>
      </c>
      <c r="O5" s="3">
        <v>0.990458256031159</v>
      </c>
      <c r="P5" s="17">
        <f>33503710+1790885</f>
        <v>35294595</v>
      </c>
      <c r="Q5" s="17">
        <v>1.0502689758847183</v>
      </c>
      <c r="R5" s="3">
        <f>36846421+2431391</f>
        <v>39277812</v>
      </c>
      <c r="S5" s="3">
        <v>1.0331909720002286</v>
      </c>
      <c r="T5" s="3">
        <f>36933877+3071925+181466+253429</f>
        <v>40440697</v>
      </c>
      <c r="U5" s="3">
        <v>1.0471556936557704</v>
      </c>
      <c r="V5" s="3">
        <f>39922566+4720112+255507</f>
        <v>44898185</v>
      </c>
      <c r="W5" s="14">
        <f>'2021'!C5/'2020'!V5</f>
        <v>0.96744512055442777</v>
      </c>
    </row>
    <row r="6" spans="1:23" ht="22.5" customHeight="1" x14ac:dyDescent="0.25">
      <c r="A6" s="48"/>
      <c r="B6" s="5" t="s">
        <v>15</v>
      </c>
      <c r="C6" s="3">
        <f>1811418+808479</f>
        <v>2619897</v>
      </c>
      <c r="D6" s="3">
        <f>1900129+572280</f>
        <v>2472409</v>
      </c>
      <c r="E6" s="3">
        <f>2172315+627533</f>
        <v>2799848</v>
      </c>
      <c r="F6" s="3">
        <f>2052632+339471</f>
        <v>2392103</v>
      </c>
      <c r="G6" s="3">
        <v>0.8521128837820835</v>
      </c>
      <c r="H6" s="3">
        <f>1856908+169334</f>
        <v>2026242</v>
      </c>
      <c r="I6" s="3">
        <v>1.0828086021114851</v>
      </c>
      <c r="J6" s="3">
        <f>1855806+198738</f>
        <v>2054544</v>
      </c>
      <c r="K6" s="3">
        <v>1.0855780241549817</v>
      </c>
      <c r="L6" s="3">
        <f>1940108+124989</f>
        <v>2065097</v>
      </c>
      <c r="M6" s="3">
        <v>1.0089143211357035</v>
      </c>
      <c r="N6" s="3">
        <f>2118110+71967</f>
        <v>2190077</v>
      </c>
      <c r="O6" s="3">
        <v>1.0990850543890449</v>
      </c>
      <c r="P6" s="17">
        <f>2015793+132970</f>
        <v>2148763</v>
      </c>
      <c r="Q6" s="17">
        <v>1.0180075614169211</v>
      </c>
      <c r="R6" s="3">
        <f>2055398+731026</f>
        <v>2786424</v>
      </c>
      <c r="S6" s="3">
        <v>1.0417557989056943</v>
      </c>
      <c r="T6" s="3">
        <f>1955906+1848+62005</f>
        <v>2019759</v>
      </c>
      <c r="U6" s="3">
        <v>1.1155697450206759</v>
      </c>
      <c r="V6" s="3">
        <f>2072267+770425</f>
        <v>2842692</v>
      </c>
      <c r="W6" s="14">
        <f>'2021'!C6/'2020'!V6</f>
        <v>1.0500507969206654</v>
      </c>
    </row>
    <row r="7" spans="1:23" ht="22.5" customHeight="1" x14ac:dyDescent="0.25">
      <c r="A7" s="48"/>
      <c r="B7" s="5" t="s">
        <v>16</v>
      </c>
      <c r="C7" s="3">
        <f>242456+2916767+2929</f>
        <v>3162152</v>
      </c>
      <c r="D7" s="3">
        <f>397133+2682747+1983</f>
        <v>3081863</v>
      </c>
      <c r="E7" s="3">
        <f>321549+2400381+2865</f>
        <v>2724795</v>
      </c>
      <c r="F7" s="3">
        <f>389996+2151365+1863</f>
        <v>2543224</v>
      </c>
      <c r="G7" s="3">
        <v>0.6760676468037774</v>
      </c>
      <c r="H7" s="3">
        <f>311845+1816499+2640</f>
        <v>2130984</v>
      </c>
      <c r="I7" s="3">
        <v>1.0665578263178286</v>
      </c>
      <c r="J7" s="3">
        <f>307486+1740709+2554</f>
        <v>2050749</v>
      </c>
      <c r="K7" s="3">
        <v>1.1364665079359582</v>
      </c>
      <c r="L7" s="3">
        <f>265983+1904603+2513</f>
        <v>2173099</v>
      </c>
      <c r="M7" s="3">
        <v>0.88583753672661814</v>
      </c>
      <c r="N7" s="3">
        <f>180115+1678865+1889</f>
        <v>1860869</v>
      </c>
      <c r="O7" s="3">
        <v>1.1302978417570337</v>
      </c>
      <c r="P7" s="17">
        <f>229187+2123761+2392</f>
        <v>2355340</v>
      </c>
      <c r="Q7" s="17">
        <v>1.1887869668975097</v>
      </c>
      <c r="R7" s="3">
        <f>312712+2143607+854</f>
        <v>2457173</v>
      </c>
      <c r="S7" s="3">
        <v>1.0342564835024926</v>
      </c>
      <c r="T7" s="3">
        <f>488833+2422342+1594+2713+905</f>
        <v>2916387</v>
      </c>
      <c r="U7" s="3">
        <v>1.1647574281311772</v>
      </c>
      <c r="V7" s="3">
        <f>483559+2571543+44660</f>
        <v>3099762</v>
      </c>
      <c r="W7" s="14">
        <f>'2021'!C7/'2020'!V7</f>
        <v>0.81133809627964981</v>
      </c>
    </row>
    <row r="8" spans="1:23" ht="22.5" customHeight="1" x14ac:dyDescent="0.25">
      <c r="A8" s="48"/>
      <c r="B8" s="5" t="s">
        <v>17</v>
      </c>
      <c r="C8" s="3">
        <f>183697+470875</f>
        <v>654572</v>
      </c>
      <c r="D8" s="3">
        <f>174899+465369</f>
        <v>640268</v>
      </c>
      <c r="E8" s="3">
        <f>145674+416780</f>
        <v>562454</v>
      </c>
      <c r="F8" s="3">
        <f>120662+353375</f>
        <v>474037</v>
      </c>
      <c r="G8" s="3">
        <v>0.91640307050921488</v>
      </c>
      <c r="H8" s="3">
        <f>104892+329041</f>
        <v>433933</v>
      </c>
      <c r="I8" s="3">
        <v>0.98775294306671069</v>
      </c>
      <c r="J8" s="3">
        <f>110856+367922</f>
        <v>478778</v>
      </c>
      <c r="K8" s="3">
        <v>1.0424311654131904</v>
      </c>
      <c r="L8" s="3">
        <f>111928+378754</f>
        <v>490682</v>
      </c>
      <c r="M8" s="3">
        <v>1.0031436230738076</v>
      </c>
      <c r="N8" s="3">
        <f>107546+361823</f>
        <v>469369</v>
      </c>
      <c r="O8" s="3">
        <v>0.93571485998524873</v>
      </c>
      <c r="P8" s="17">
        <f>130966+306002</f>
        <v>436968</v>
      </c>
      <c r="Q8" s="17">
        <v>1.0891210427122773</v>
      </c>
      <c r="R8" s="3">
        <f>120350+301135</f>
        <v>421485</v>
      </c>
      <c r="S8" s="3">
        <v>1.1320885769852131</v>
      </c>
      <c r="T8" s="3">
        <f>157230+7759+1863+1685+316380</f>
        <v>484917</v>
      </c>
      <c r="U8" s="3">
        <v>1.0113042622007105</v>
      </c>
      <c r="V8" s="3">
        <f>190640+468176+2688</f>
        <v>661504</v>
      </c>
      <c r="W8" s="14">
        <f>'2021'!C8/'2020'!V8</f>
        <v>0.84512111793730649</v>
      </c>
    </row>
    <row r="9" spans="1:23" ht="22.5" customHeight="1" x14ac:dyDescent="0.25">
      <c r="A9" s="48"/>
      <c r="B9" s="49" t="s">
        <v>32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1"/>
    </row>
    <row r="10" spans="1:23" ht="22.5" customHeight="1" x14ac:dyDescent="0.25">
      <c r="A10" s="48"/>
      <c r="B10" s="4"/>
      <c r="C10" s="3">
        <f>473233+174857</f>
        <v>648090</v>
      </c>
      <c r="D10" s="3">
        <f>423967+175402</f>
        <v>599369</v>
      </c>
      <c r="E10" s="3">
        <f>415072+150751</f>
        <v>565823</v>
      </c>
      <c r="F10" s="3">
        <f>408024+117825</f>
        <v>525849</v>
      </c>
      <c r="G10" s="3">
        <v>0.97859209790682389</v>
      </c>
      <c r="H10" s="3">
        <f>356928+204751</f>
        <v>561679</v>
      </c>
      <c r="I10" s="3">
        <v>1.0560843156027813</v>
      </c>
      <c r="J10" s="3">
        <f>360257+237671</f>
        <v>597928</v>
      </c>
      <c r="K10" s="3">
        <v>0.83469294640959601</v>
      </c>
      <c r="L10" s="3">
        <f>344702+240918</f>
        <v>585620</v>
      </c>
      <c r="M10" s="3">
        <v>0.94007129198018635</v>
      </c>
      <c r="N10" s="3">
        <f>353513+222022</f>
        <v>575535</v>
      </c>
      <c r="O10" s="3">
        <v>1.2061040653363031</v>
      </c>
      <c r="P10" s="17">
        <f>372499+239293</f>
        <v>611792</v>
      </c>
      <c r="Q10" s="17">
        <v>0.94666721106040574</v>
      </c>
      <c r="R10" s="3">
        <f>338042+166612</f>
        <v>504654</v>
      </c>
      <c r="S10" s="3">
        <v>0.96139554635453994</v>
      </c>
      <c r="T10" s="3">
        <f>17861+99588+8819+63888+233976+83114+57229</f>
        <v>564475</v>
      </c>
      <c r="U10" s="3">
        <v>1.0904893367382151</v>
      </c>
      <c r="V10" s="3">
        <v>449776</v>
      </c>
      <c r="W10" s="14">
        <f>'2021'!C10/'2020'!V10</f>
        <v>1.4107555761089965</v>
      </c>
    </row>
    <row r="11" spans="1:23" ht="22.5" customHeight="1" x14ac:dyDescent="0.25">
      <c r="A11" s="44" t="s">
        <v>18</v>
      </c>
      <c r="B11" s="45"/>
      <c r="C11" s="9">
        <f t="shared" ref="C11:V11" si="0">SUM(C5:C8,C10)</f>
        <v>49547632</v>
      </c>
      <c r="D11" s="9">
        <f t="shared" si="0"/>
        <v>46603458</v>
      </c>
      <c r="E11" s="9">
        <f t="shared" si="0"/>
        <v>47720468</v>
      </c>
      <c r="F11" s="9">
        <f t="shared" si="0"/>
        <v>43493378</v>
      </c>
      <c r="G11" s="9"/>
      <c r="H11" s="9">
        <f t="shared" si="0"/>
        <v>38545956</v>
      </c>
      <c r="I11" s="9"/>
      <c r="J11" s="9">
        <f t="shared" si="0"/>
        <v>37290261</v>
      </c>
      <c r="K11" s="9"/>
      <c r="L11" s="9">
        <f t="shared" si="0"/>
        <v>39544111</v>
      </c>
      <c r="M11" s="9"/>
      <c r="N11" s="9">
        <f t="shared" si="0"/>
        <v>39781123</v>
      </c>
      <c r="O11" s="9"/>
      <c r="P11" s="9">
        <f t="shared" si="0"/>
        <v>40847458</v>
      </c>
      <c r="Q11" s="9"/>
      <c r="R11" s="9">
        <f t="shared" si="0"/>
        <v>45447548</v>
      </c>
      <c r="S11" s="9"/>
      <c r="T11" s="9">
        <f t="shared" si="0"/>
        <v>46426235</v>
      </c>
      <c r="U11" s="9"/>
      <c r="V11" s="9">
        <f t="shared" si="0"/>
        <v>51951919</v>
      </c>
    </row>
    <row r="12" spans="1:23" s="10" customFormat="1" ht="22.5" customHeight="1" x14ac:dyDescent="0.2">
      <c r="A12" s="44" t="s">
        <v>19</v>
      </c>
      <c r="B12" s="45"/>
      <c r="C12" s="9">
        <f>C11</f>
        <v>49547632</v>
      </c>
      <c r="D12" s="9">
        <f t="shared" ref="D12:V12" si="1">D11</f>
        <v>46603458</v>
      </c>
      <c r="E12" s="9">
        <f t="shared" si="1"/>
        <v>47720468</v>
      </c>
      <c r="F12" s="9">
        <f t="shared" si="1"/>
        <v>43493378</v>
      </c>
      <c r="G12" s="9"/>
      <c r="H12" s="9">
        <f t="shared" si="1"/>
        <v>38545956</v>
      </c>
      <c r="I12" s="9"/>
      <c r="J12" s="9">
        <f t="shared" si="1"/>
        <v>37290261</v>
      </c>
      <c r="K12" s="9"/>
      <c r="L12" s="9">
        <f t="shared" si="1"/>
        <v>39544111</v>
      </c>
      <c r="M12" s="9"/>
      <c r="N12" s="9">
        <f t="shared" si="1"/>
        <v>39781123</v>
      </c>
      <c r="O12" s="9"/>
      <c r="P12" s="9">
        <f t="shared" si="1"/>
        <v>40847458</v>
      </c>
      <c r="Q12" s="9"/>
      <c r="R12" s="9">
        <f t="shared" si="1"/>
        <v>45447548</v>
      </c>
      <c r="S12" s="9"/>
      <c r="T12" s="9">
        <f t="shared" si="1"/>
        <v>46426235</v>
      </c>
      <c r="U12" s="9"/>
      <c r="V12" s="9">
        <f t="shared" si="1"/>
        <v>51951919</v>
      </c>
      <c r="W12" s="16"/>
    </row>
  </sheetData>
  <mergeCells count="6">
    <mergeCell ref="A12:B12"/>
    <mergeCell ref="A2:V2"/>
    <mergeCell ref="A4:A10"/>
    <mergeCell ref="B4:V4"/>
    <mergeCell ref="B9:V9"/>
    <mergeCell ref="A11:B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H12"/>
  <sheetViews>
    <sheetView zoomScale="70" zoomScaleNormal="70" workbookViewId="0">
      <selection activeCell="AH10" sqref="AH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" style="1" hidden="1" customWidth="1"/>
    <col min="5" max="5" width="16.7109375" style="1" customWidth="1"/>
    <col min="6" max="6" width="16.7109375" style="1" hidden="1" customWidth="1"/>
    <col min="7" max="7" width="16.42578125" style="1" customWidth="1"/>
    <col min="8" max="8" width="16.42578125" style="1" hidden="1" customWidth="1"/>
    <col min="9" max="9" width="15.85546875" style="1" customWidth="1"/>
    <col min="10" max="11" width="15.85546875" style="1" hidden="1" customWidth="1"/>
    <col min="12" max="12" width="17.85546875" style="1" customWidth="1"/>
    <col min="13" max="14" width="17.85546875" style="1" hidden="1" customWidth="1"/>
    <col min="15" max="15" width="18.42578125" style="1" customWidth="1"/>
    <col min="16" max="17" width="18.42578125" style="1" hidden="1" customWidth="1"/>
    <col min="18" max="18" width="19.85546875" style="1" customWidth="1"/>
    <col min="19" max="20" width="19.85546875" style="1" hidden="1" customWidth="1"/>
    <col min="21" max="21" width="21" style="1" customWidth="1"/>
    <col min="22" max="23" width="21" style="1" hidden="1" customWidth="1"/>
    <col min="24" max="24" width="22.140625" style="1" customWidth="1"/>
    <col min="25" max="26" width="22.140625" style="1" hidden="1" customWidth="1"/>
    <col min="27" max="27" width="22.42578125" style="1" customWidth="1"/>
    <col min="28" max="29" width="22.42578125" style="1" hidden="1" customWidth="1"/>
    <col min="30" max="30" width="24.28515625" style="1" customWidth="1"/>
    <col min="31" max="32" width="24.28515625" style="1" hidden="1" customWidth="1"/>
    <col min="33" max="33" width="24.28515625" style="1" customWidth="1"/>
    <col min="34" max="34" width="9.140625" style="14"/>
    <col min="35" max="16384" width="9.140625" style="1"/>
  </cols>
  <sheetData>
    <row r="2" spans="1:34" ht="42.75" customHeight="1" x14ac:dyDescent="0.25">
      <c r="A2" s="46" t="s">
        <v>37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4" s="2" customFormat="1" ht="33" customHeight="1" x14ac:dyDescent="0.25">
      <c r="A3" s="6" t="s">
        <v>0</v>
      </c>
      <c r="B3" s="7" t="s">
        <v>1</v>
      </c>
      <c r="C3" s="8" t="s">
        <v>2</v>
      </c>
      <c r="D3" s="8"/>
      <c r="E3" s="8" t="s">
        <v>3</v>
      </c>
      <c r="F3" s="8"/>
      <c r="G3" s="8" t="s">
        <v>4</v>
      </c>
      <c r="H3" s="8"/>
      <c r="I3" s="8" t="s">
        <v>5</v>
      </c>
      <c r="J3" s="8"/>
      <c r="K3" s="8"/>
      <c r="L3" s="8" t="s">
        <v>6</v>
      </c>
      <c r="M3" s="8"/>
      <c r="N3" s="8"/>
      <c r="O3" s="8" t="s">
        <v>7</v>
      </c>
      <c r="P3" s="8"/>
      <c r="Q3" s="8"/>
      <c r="R3" s="8" t="s">
        <v>8</v>
      </c>
      <c r="S3" s="8"/>
      <c r="T3" s="8"/>
      <c r="U3" s="8" t="s">
        <v>9</v>
      </c>
      <c r="V3" s="8"/>
      <c r="W3" s="8"/>
      <c r="X3" s="8" t="s">
        <v>10</v>
      </c>
      <c r="Y3" s="8"/>
      <c r="Z3" s="8"/>
      <c r="AA3" s="8" t="s">
        <v>11</v>
      </c>
      <c r="AB3" s="8"/>
      <c r="AC3" s="8"/>
      <c r="AD3" s="8" t="s">
        <v>12</v>
      </c>
      <c r="AE3" s="8"/>
      <c r="AF3" s="8"/>
      <c r="AG3" s="8" t="s">
        <v>13</v>
      </c>
      <c r="AH3" s="15"/>
    </row>
    <row r="4" spans="1:34" ht="22.5" customHeight="1" x14ac:dyDescent="0.25">
      <c r="A4" s="47" t="s">
        <v>36</v>
      </c>
      <c r="B4" s="49" t="s">
        <v>31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1"/>
    </row>
    <row r="5" spans="1:34" ht="22.5" customHeight="1" x14ac:dyDescent="0.25">
      <c r="A5" s="48"/>
      <c r="B5" s="5" t="s">
        <v>14</v>
      </c>
      <c r="C5" s="3">
        <f>39073738+4362792</f>
        <v>43436530</v>
      </c>
      <c r="D5" s="3">
        <v>0.93751320122325077</v>
      </c>
      <c r="E5" s="3">
        <f>36565358+3702661</f>
        <v>40268019</v>
      </c>
      <c r="F5" s="3">
        <v>1.0316004333533142</v>
      </c>
      <c r="G5" s="3">
        <f>40321972+3787694</f>
        <v>44109666</v>
      </c>
      <c r="H5" s="3">
        <v>0.91454607905979679</v>
      </c>
      <c r="I5" s="3">
        <f>37580553+2211361</f>
        <v>39791914</v>
      </c>
      <c r="J5" s="3"/>
      <c r="K5" s="3">
        <v>0.88910408695419496</v>
      </c>
      <c r="L5" s="3">
        <f>36917410+1347029</f>
        <v>38264439</v>
      </c>
      <c r="M5" s="3"/>
      <c r="N5" s="3">
        <v>0.96152332944770236</v>
      </c>
      <c r="O5" s="3">
        <f>35817302+1266123</f>
        <v>37083425</v>
      </c>
      <c r="P5" s="3"/>
      <c r="Q5" s="3">
        <v>1.0660686959636745</v>
      </c>
      <c r="R5" s="3">
        <v>37757556</v>
      </c>
      <c r="S5" s="3"/>
      <c r="T5" s="3">
        <v>1.0133118653722437</v>
      </c>
      <c r="U5" s="3">
        <f>36231079+1520224</f>
        <v>37751303</v>
      </c>
      <c r="V5" s="3"/>
      <c r="W5" s="3">
        <v>1.0175671674834446</v>
      </c>
      <c r="X5" s="17">
        <f>1425568+36482928</f>
        <v>37908496</v>
      </c>
      <c r="Y5" s="17"/>
      <c r="Z5" s="17">
        <v>1.1128562886186963</v>
      </c>
      <c r="AA5" s="3">
        <f>39819970+2529607</f>
        <v>42349577</v>
      </c>
      <c r="AB5" s="3"/>
      <c r="AC5" s="3">
        <v>1.029606664444547</v>
      </c>
      <c r="AD5" s="3">
        <f>42208686+2939285</f>
        <v>45147971</v>
      </c>
      <c r="AE5" s="3"/>
      <c r="AF5" s="3">
        <v>1.1102228282563973</v>
      </c>
      <c r="AG5" s="3">
        <f>43997073+4151358</f>
        <v>48148431</v>
      </c>
      <c r="AH5" s="14">
        <f>'2022'!D5/'2021'!AG5</f>
        <v>1.0512078576350701</v>
      </c>
    </row>
    <row r="6" spans="1:34" ht="22.5" customHeight="1" x14ac:dyDescent="0.25">
      <c r="A6" s="48"/>
      <c r="B6" s="5" t="s">
        <v>15</v>
      </c>
      <c r="C6" s="3">
        <f>2349075+635896</f>
        <v>2984971</v>
      </c>
      <c r="D6" s="3">
        <v>0.9437046570914811</v>
      </c>
      <c r="E6" s="3">
        <f>2103886+841882</f>
        <v>2945768</v>
      </c>
      <c r="F6" s="3">
        <v>1.132437230247908</v>
      </c>
      <c r="G6" s="3">
        <f>2366180+991459</f>
        <v>3357639</v>
      </c>
      <c r="H6" s="3">
        <v>0.85436888002491562</v>
      </c>
      <c r="I6" s="3">
        <f>2363434+1860+570898</f>
        <v>2936192</v>
      </c>
      <c r="J6" s="3"/>
      <c r="K6" s="3">
        <v>0.84705466277998898</v>
      </c>
      <c r="L6" s="3">
        <f>2342539+317829</f>
        <v>2660368</v>
      </c>
      <c r="M6" s="3"/>
      <c r="N6" s="3">
        <v>1.0139677294222507</v>
      </c>
      <c r="O6" s="3">
        <f>2326685+93103</f>
        <v>2419788</v>
      </c>
      <c r="P6" s="3"/>
      <c r="Q6" s="3">
        <v>1.0051364195656067</v>
      </c>
      <c r="R6" s="3">
        <v>2530646</v>
      </c>
      <c r="S6" s="3"/>
      <c r="T6" s="3">
        <v>1.0605201595857241</v>
      </c>
      <c r="U6" s="3">
        <f>2482376+320892</f>
        <v>2803268</v>
      </c>
      <c r="V6" s="3"/>
      <c r="W6" s="3">
        <v>0.98113582307836666</v>
      </c>
      <c r="X6" s="17">
        <f>343876+2346207</f>
        <v>2690083</v>
      </c>
      <c r="Y6" s="17"/>
      <c r="Z6" s="17">
        <v>1.296757250566954</v>
      </c>
      <c r="AA6" s="3">
        <f>2660443+632029</f>
        <v>3292472</v>
      </c>
      <c r="AB6" s="3"/>
      <c r="AC6" s="3">
        <v>0.72485702104202376</v>
      </c>
      <c r="AD6" s="3">
        <f>2604495+837249</f>
        <v>3441744</v>
      </c>
      <c r="AE6" s="3"/>
      <c r="AF6" s="3">
        <v>1.407441184814624</v>
      </c>
      <c r="AG6" s="3">
        <f>2900323+946153</f>
        <v>3846476</v>
      </c>
      <c r="AH6" s="14">
        <f>'2022'!D6/'2021'!AG6</f>
        <v>0.28809668902132757</v>
      </c>
    </row>
    <row r="7" spans="1:34" ht="22.5" customHeight="1" x14ac:dyDescent="0.25">
      <c r="A7" s="48"/>
      <c r="B7" s="5" t="s">
        <v>16</v>
      </c>
      <c r="C7" s="3">
        <f>277944+2235398+1613</f>
        <v>2514955</v>
      </c>
      <c r="D7" s="3">
        <v>0.97460937994125518</v>
      </c>
      <c r="E7" s="3">
        <f>402405+2495526+2477</f>
        <v>2900408</v>
      </c>
      <c r="F7" s="3">
        <v>0.88413891208012818</v>
      </c>
      <c r="G7" s="3">
        <f>475672+2391132+3242</f>
        <v>2870046</v>
      </c>
      <c r="H7" s="3">
        <v>0.93336342734040545</v>
      </c>
      <c r="I7" s="3">
        <f>337554+117793+1998150</f>
        <v>2453497</v>
      </c>
      <c r="J7" s="3"/>
      <c r="K7" s="3">
        <v>0.83790653123751579</v>
      </c>
      <c r="L7" s="3">
        <f>233249+1459877</f>
        <v>1693126</v>
      </c>
      <c r="M7" s="3"/>
      <c r="N7" s="3">
        <v>0.96234837990336863</v>
      </c>
      <c r="O7" s="3">
        <f>272458+1675264+2393</f>
        <v>1950115</v>
      </c>
      <c r="P7" s="3"/>
      <c r="Q7" s="3">
        <v>1.0596611286900541</v>
      </c>
      <c r="R7" s="3">
        <v>275800</v>
      </c>
      <c r="S7" s="3"/>
      <c r="T7" s="3">
        <v>0.85632039773613622</v>
      </c>
      <c r="U7" s="3">
        <f>273033+1536513+2237</f>
        <v>1811783</v>
      </c>
      <c r="V7" s="3"/>
      <c r="W7" s="3">
        <v>1.2657204779057527</v>
      </c>
      <c r="X7" s="17">
        <f>1594967+1354+397523</f>
        <v>1993844</v>
      </c>
      <c r="Y7" s="17"/>
      <c r="Z7" s="17">
        <v>1.0432349469715625</v>
      </c>
      <c r="AA7" s="3">
        <f>460443+1726112+1165</f>
        <v>2187720</v>
      </c>
      <c r="AB7" s="3"/>
      <c r="AC7" s="3">
        <v>1.1868871259776987</v>
      </c>
      <c r="AD7" s="3">
        <f>485402+2053478</f>
        <v>2538880</v>
      </c>
      <c r="AE7" s="3"/>
      <c r="AF7" s="3">
        <v>1.0628774576213651</v>
      </c>
      <c r="AG7" s="3">
        <f>506562+1930643+1107</f>
        <v>2438312</v>
      </c>
      <c r="AH7" s="14">
        <f>'2022'!D7/'2021'!AG7</f>
        <v>0.93396784332767913</v>
      </c>
    </row>
    <row r="8" spans="1:34" ht="22.5" customHeight="1" x14ac:dyDescent="0.25">
      <c r="A8" s="48"/>
      <c r="B8" s="5" t="s">
        <v>17</v>
      </c>
      <c r="C8" s="3">
        <f>190450+368601</f>
        <v>559051</v>
      </c>
      <c r="D8" s="3">
        <v>0.97814755290479882</v>
      </c>
      <c r="E8" s="3">
        <f>188341+340900</f>
        <v>529241</v>
      </c>
      <c r="F8" s="3">
        <v>0.87846651714594515</v>
      </c>
      <c r="G8" s="3">
        <f>182231+309842</f>
        <v>492073</v>
      </c>
      <c r="H8" s="3">
        <v>0.84280136686733498</v>
      </c>
      <c r="I8" s="3">
        <f>165611+1410+258776</f>
        <v>425797</v>
      </c>
      <c r="J8" s="3"/>
      <c r="K8" s="3">
        <v>0.91539900893812087</v>
      </c>
      <c r="L8" s="3">
        <f>149476+236193</f>
        <v>385669</v>
      </c>
      <c r="M8" s="3"/>
      <c r="N8" s="3">
        <v>1.1033454473386444</v>
      </c>
      <c r="O8" s="3">
        <f>204427+296521</f>
        <v>500948</v>
      </c>
      <c r="P8" s="3"/>
      <c r="Q8" s="3">
        <v>1.0248632978123473</v>
      </c>
      <c r="R8" s="3">
        <v>111199</v>
      </c>
      <c r="S8" s="3"/>
      <c r="T8" s="3">
        <v>0.95656453670605401</v>
      </c>
      <c r="U8" s="3">
        <f>122710+327957</f>
        <v>450667</v>
      </c>
      <c r="V8" s="3"/>
      <c r="W8" s="3">
        <v>0.93096902437101725</v>
      </c>
      <c r="X8" s="17">
        <f>283321+116817</f>
        <v>400138</v>
      </c>
      <c r="Y8" s="17"/>
      <c r="Z8" s="17">
        <v>0.9645671994287911</v>
      </c>
      <c r="AA8" s="3">
        <f>168355+292496</f>
        <v>460851</v>
      </c>
      <c r="AB8" s="3"/>
      <c r="AC8" s="3">
        <v>1.150496458948717</v>
      </c>
      <c r="AD8" s="3">
        <f>225182+289866</f>
        <v>515048</v>
      </c>
      <c r="AE8" s="3"/>
      <c r="AF8" s="3">
        <v>1.3641592272491994</v>
      </c>
      <c r="AG8" s="3">
        <f>251877+301744</f>
        <v>553621</v>
      </c>
      <c r="AH8" s="14">
        <f>'2022'!D8/'2021'!AG8</f>
        <v>1.0225858484414427</v>
      </c>
    </row>
    <row r="9" spans="1:34" ht="22.5" customHeight="1" x14ac:dyDescent="0.25">
      <c r="A9" s="48"/>
      <c r="B9" s="49" t="s">
        <v>32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1"/>
    </row>
    <row r="10" spans="1:34" ht="22.5" customHeight="1" x14ac:dyDescent="0.25">
      <c r="A10" s="48"/>
      <c r="B10" s="4"/>
      <c r="C10" s="3">
        <f>456446+178078</f>
        <v>634524</v>
      </c>
      <c r="D10" s="3">
        <v>0.92482371275594444</v>
      </c>
      <c r="E10" s="3">
        <f>426128+170316</f>
        <v>596444</v>
      </c>
      <c r="F10" s="3">
        <v>0.94403113941495143</v>
      </c>
      <c r="G10" s="3">
        <f>416381+176430</f>
        <v>592811</v>
      </c>
      <c r="H10" s="3">
        <v>0.92935246534693716</v>
      </c>
      <c r="I10" s="3">
        <f>278547+243371+87864</f>
        <v>609782</v>
      </c>
      <c r="J10" s="3"/>
      <c r="K10" s="3">
        <v>1.0681374310876317</v>
      </c>
      <c r="L10" s="3">
        <f>442691+206158</f>
        <v>648849</v>
      </c>
      <c r="M10" s="3"/>
      <c r="N10" s="3">
        <v>1.0645368618018476</v>
      </c>
      <c r="O10" s="3">
        <f>469080+320227</f>
        <v>789307</v>
      </c>
      <c r="P10" s="3"/>
      <c r="Q10" s="3">
        <v>0.97941558180918109</v>
      </c>
      <c r="R10" s="3">
        <v>321427</v>
      </c>
      <c r="S10" s="3"/>
      <c r="T10" s="3">
        <v>0.98277893514565762</v>
      </c>
      <c r="U10" s="3">
        <f>377903+349220</f>
        <v>727123</v>
      </c>
      <c r="V10" s="3"/>
      <c r="W10" s="3">
        <v>1.0629970375389854</v>
      </c>
      <c r="X10" s="17">
        <f>331091+395612</f>
        <v>726703</v>
      </c>
      <c r="Y10" s="17"/>
      <c r="Z10" s="17">
        <v>0.82487839004105967</v>
      </c>
      <c r="AA10" s="3">
        <v>583781</v>
      </c>
      <c r="AB10" s="3"/>
      <c r="AC10" s="3">
        <v>1.1185386423173105</v>
      </c>
      <c r="AD10" s="3">
        <f>595360+88322</f>
        <v>683682</v>
      </c>
      <c r="AE10" s="3"/>
      <c r="AF10" s="3">
        <v>0.79680411001372953</v>
      </c>
      <c r="AG10" s="3">
        <f>628700+94677</f>
        <v>723377</v>
      </c>
      <c r="AH10" s="14">
        <f>'2022'!D10/'2021'!AG10</f>
        <v>1.1837686296357224</v>
      </c>
    </row>
    <row r="11" spans="1:34" ht="22.5" customHeight="1" x14ac:dyDescent="0.25">
      <c r="A11" s="44" t="s">
        <v>18</v>
      </c>
      <c r="B11" s="45"/>
      <c r="C11" s="9">
        <f t="shared" ref="C11:AG11" si="0">SUM(C5:C8,C10)</f>
        <v>50130031</v>
      </c>
      <c r="D11" s="9"/>
      <c r="E11" s="9">
        <f t="shared" si="0"/>
        <v>47239880</v>
      </c>
      <c r="F11" s="9"/>
      <c r="G11" s="9">
        <f t="shared" si="0"/>
        <v>51422235</v>
      </c>
      <c r="H11" s="9"/>
      <c r="I11" s="9">
        <f t="shared" si="0"/>
        <v>46217182</v>
      </c>
      <c r="J11" s="9"/>
      <c r="K11" s="9"/>
      <c r="L11" s="9">
        <f t="shared" si="0"/>
        <v>43652451</v>
      </c>
      <c r="M11" s="9"/>
      <c r="N11" s="9"/>
      <c r="O11" s="9">
        <f t="shared" si="0"/>
        <v>42743583</v>
      </c>
      <c r="P11" s="9"/>
      <c r="Q11" s="9"/>
      <c r="R11" s="9">
        <f t="shared" si="0"/>
        <v>40996628</v>
      </c>
      <c r="S11" s="9"/>
      <c r="T11" s="9"/>
      <c r="U11" s="9">
        <f t="shared" si="0"/>
        <v>43544144</v>
      </c>
      <c r="V11" s="9"/>
      <c r="W11" s="9"/>
      <c r="X11" s="9">
        <f t="shared" si="0"/>
        <v>43719264</v>
      </c>
      <c r="Y11" s="9"/>
      <c r="Z11" s="9"/>
      <c r="AA11" s="9">
        <f t="shared" si="0"/>
        <v>48874401</v>
      </c>
      <c r="AB11" s="9"/>
      <c r="AC11" s="9"/>
      <c r="AD11" s="9">
        <f t="shared" si="0"/>
        <v>52327325</v>
      </c>
      <c r="AE11" s="9"/>
      <c r="AF11" s="9"/>
      <c r="AG11" s="9">
        <f t="shared" si="0"/>
        <v>55710217</v>
      </c>
    </row>
    <row r="12" spans="1:34" s="10" customFormat="1" ht="22.5" customHeight="1" x14ac:dyDescent="0.2">
      <c r="A12" s="44" t="s">
        <v>19</v>
      </c>
      <c r="B12" s="45"/>
      <c r="C12" s="9">
        <f>C11</f>
        <v>50130031</v>
      </c>
      <c r="D12" s="9"/>
      <c r="E12" s="9">
        <f t="shared" ref="E12:AG12" si="1">E11</f>
        <v>47239880</v>
      </c>
      <c r="F12" s="9"/>
      <c r="G12" s="9">
        <f t="shared" si="1"/>
        <v>51422235</v>
      </c>
      <c r="H12" s="9"/>
      <c r="I12" s="9">
        <f t="shared" si="1"/>
        <v>46217182</v>
      </c>
      <c r="J12" s="9"/>
      <c r="K12" s="9"/>
      <c r="L12" s="9">
        <f t="shared" si="1"/>
        <v>43652451</v>
      </c>
      <c r="M12" s="9"/>
      <c r="N12" s="9"/>
      <c r="O12" s="9">
        <f t="shared" si="1"/>
        <v>42743583</v>
      </c>
      <c r="P12" s="9"/>
      <c r="Q12" s="9"/>
      <c r="R12" s="9">
        <f t="shared" si="1"/>
        <v>40996628</v>
      </c>
      <c r="S12" s="9"/>
      <c r="T12" s="9"/>
      <c r="U12" s="9">
        <f t="shared" si="1"/>
        <v>43544144</v>
      </c>
      <c r="V12" s="9"/>
      <c r="W12" s="9"/>
      <c r="X12" s="9">
        <f t="shared" si="1"/>
        <v>43719264</v>
      </c>
      <c r="Y12" s="9"/>
      <c r="Z12" s="9"/>
      <c r="AA12" s="9">
        <f t="shared" si="1"/>
        <v>48874401</v>
      </c>
      <c r="AB12" s="9"/>
      <c r="AC12" s="9"/>
      <c r="AD12" s="9">
        <f t="shared" si="1"/>
        <v>52327325</v>
      </c>
      <c r="AE12" s="9"/>
      <c r="AF12" s="9"/>
      <c r="AG12" s="9">
        <f t="shared" si="1"/>
        <v>55710217</v>
      </c>
      <c r="AH12" s="16"/>
    </row>
  </sheetData>
  <mergeCells count="6">
    <mergeCell ref="A12:B12"/>
    <mergeCell ref="A2:AG2"/>
    <mergeCell ref="A4:A10"/>
    <mergeCell ref="B4:AG4"/>
    <mergeCell ref="B9:AG9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Гуляев Кирилл Германович</cp:lastModifiedBy>
  <dcterms:created xsi:type="dcterms:W3CDTF">2013-11-13T16:10:49Z</dcterms:created>
  <dcterms:modified xsi:type="dcterms:W3CDTF">2025-01-23T09:40:51Z</dcterms:modified>
</cp:coreProperties>
</file>