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msk3\операционный департамент\Отдел реализации\для сайта\_ТСО\по факту\"/>
    </mc:Choice>
  </mc:AlternateContent>
  <bookViews>
    <workbookView xWindow="-15" yWindow="6225" windowWidth="25230" windowHeight="6165" firstSheet="7" activeTab="10"/>
  </bookViews>
  <sheets>
    <sheet name="2014" sheetId="8" state="hidden" r:id="rId1"/>
    <sheet name="2015 " sheetId="7" state="hidden" r:id="rId2"/>
    <sheet name="2016" sheetId="9" state="hidden" r:id="rId3"/>
    <sheet name="2017" sheetId="11" state="hidden" r:id="rId4"/>
    <sheet name="2018" sheetId="12" state="hidden" r:id="rId5"/>
    <sheet name="2019" sheetId="13" state="hidden" r:id="rId6"/>
    <sheet name="2020" sheetId="14" state="hidden" r:id="rId7"/>
    <sheet name="2021" sheetId="15" r:id="rId8"/>
    <sheet name="2022" sheetId="16" r:id="rId9"/>
    <sheet name="2023" sheetId="17" r:id="rId10"/>
    <sheet name="2024" sheetId="18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calcPr calcId="162913"/>
</workbook>
</file>

<file path=xl/calcChain.xml><?xml version="1.0" encoding="utf-8"?>
<calcChain xmlns="http://schemas.openxmlformats.org/spreadsheetml/2006/main">
  <c r="M6" i="18" l="1"/>
  <c r="M5" i="18"/>
  <c r="K6" i="18" l="1"/>
  <c r="K5" i="18"/>
  <c r="H6" i="18" l="1"/>
  <c r="H5" i="18"/>
  <c r="C6" i="18" l="1"/>
  <c r="C5" i="18"/>
  <c r="N11" i="18" l="1"/>
  <c r="M11" i="18"/>
  <c r="L11" i="18"/>
  <c r="K11" i="18"/>
  <c r="J11" i="18"/>
  <c r="I11" i="18"/>
  <c r="H11" i="18"/>
  <c r="G11" i="18"/>
  <c r="F11" i="18"/>
  <c r="E11" i="18"/>
  <c r="D11" i="18"/>
  <c r="C11" i="18"/>
  <c r="O8" i="18"/>
  <c r="O7" i="18"/>
  <c r="O6" i="18"/>
  <c r="O5" i="18"/>
  <c r="O8" i="17" l="1"/>
  <c r="O7" i="17"/>
  <c r="O6" i="17"/>
  <c r="O5" i="17"/>
  <c r="C11" i="17" l="1"/>
  <c r="AH8" i="15"/>
  <c r="AH7" i="15"/>
  <c r="AH6" i="15"/>
  <c r="AH5" i="15"/>
  <c r="M11" i="17"/>
  <c r="L11" i="17"/>
  <c r="K11" i="17"/>
  <c r="J11" i="17"/>
  <c r="I11" i="17"/>
  <c r="H11" i="17"/>
  <c r="G11" i="17"/>
  <c r="F11" i="17"/>
  <c r="E11" i="17"/>
  <c r="D11" i="17"/>
  <c r="N11" i="17"/>
  <c r="AP5" i="16" l="1"/>
  <c r="AQ5" i="16"/>
  <c r="AR5" i="16"/>
  <c r="AP6" i="16"/>
  <c r="AQ6" i="16"/>
  <c r="AR6" i="16"/>
  <c r="AP7" i="16"/>
  <c r="AQ7" i="16"/>
  <c r="AR7" i="16"/>
  <c r="AP8" i="16"/>
  <c r="AQ8" i="16"/>
  <c r="AR8" i="16"/>
  <c r="AL5" i="16" l="1"/>
  <c r="AM5" i="16"/>
  <c r="AN5" i="16"/>
  <c r="AL6" i="16"/>
  <c r="AM6" i="16"/>
  <c r="AN6" i="16"/>
  <c r="AL7" i="16"/>
  <c r="AM7" i="16"/>
  <c r="AN7" i="16"/>
  <c r="AL8" i="16"/>
  <c r="AM8" i="16"/>
  <c r="AN8" i="16"/>
  <c r="AH5" i="16" l="1"/>
  <c r="AI5" i="16"/>
  <c r="AJ5" i="16"/>
  <c r="AH6" i="16"/>
  <c r="AI6" i="16"/>
  <c r="AJ6" i="16"/>
  <c r="AH7" i="16"/>
  <c r="AI7" i="16"/>
  <c r="AJ7" i="16"/>
  <c r="AH8" i="16"/>
  <c r="AI8" i="16"/>
  <c r="AJ8" i="16"/>
  <c r="AD5" i="16" l="1"/>
  <c r="AE5" i="16"/>
  <c r="AF5" i="16"/>
  <c r="AD6" i="16"/>
  <c r="AE6" i="16"/>
  <c r="AF6" i="16"/>
  <c r="AD7" i="16"/>
  <c r="AE7" i="16"/>
  <c r="AF7" i="16"/>
  <c r="AD8" i="16"/>
  <c r="AE8" i="16"/>
  <c r="AF8" i="16"/>
  <c r="V5" i="16" l="1"/>
  <c r="W5" i="16"/>
  <c r="X5" i="16"/>
  <c r="Z5" i="16"/>
  <c r="AA5" i="16"/>
  <c r="V6" i="16"/>
  <c r="W6" i="16"/>
  <c r="X6" i="16"/>
  <c r="Z6" i="16"/>
  <c r="AA6" i="16"/>
  <c r="V7" i="16"/>
  <c r="W7" i="16"/>
  <c r="X7" i="16"/>
  <c r="Z7" i="16"/>
  <c r="AA7" i="16"/>
  <c r="V8" i="16"/>
  <c r="W8" i="16"/>
  <c r="X8" i="16"/>
  <c r="Z8" i="16"/>
  <c r="AA8" i="16"/>
  <c r="R5" i="16" l="1"/>
  <c r="S5" i="16"/>
  <c r="T5" i="16"/>
  <c r="R6" i="16"/>
  <c r="S6" i="16"/>
  <c r="T6" i="16"/>
  <c r="R7" i="16"/>
  <c r="S7" i="16"/>
  <c r="T7" i="16"/>
  <c r="R8" i="16"/>
  <c r="S8" i="16"/>
  <c r="T8" i="16"/>
  <c r="N5" i="16" l="1"/>
  <c r="O5" i="16"/>
  <c r="P5" i="16"/>
  <c r="N6" i="16"/>
  <c r="O6" i="16"/>
  <c r="P6" i="16"/>
  <c r="N7" i="16"/>
  <c r="O7" i="16"/>
  <c r="P7" i="16"/>
  <c r="N8" i="16"/>
  <c r="O8" i="16"/>
  <c r="P8" i="16"/>
  <c r="K5" i="16" l="1"/>
  <c r="L5" i="16"/>
  <c r="K6" i="16"/>
  <c r="L6" i="16"/>
  <c r="K7" i="16"/>
  <c r="L7" i="16"/>
  <c r="K8" i="16"/>
  <c r="L8" i="16"/>
  <c r="H5" i="16" l="1"/>
  <c r="I5" i="16"/>
  <c r="H6" i="16"/>
  <c r="I6" i="16"/>
  <c r="H7" i="16"/>
  <c r="I7" i="16"/>
  <c r="H8" i="16"/>
  <c r="I8" i="16"/>
  <c r="D11" i="16" l="1"/>
  <c r="W8" i="14"/>
  <c r="W7" i="14"/>
  <c r="W6" i="14"/>
  <c r="W5" i="14"/>
  <c r="AO11" i="16"/>
  <c r="AK11" i="16"/>
  <c r="AG11" i="16"/>
  <c r="U11" i="16"/>
  <c r="Q11" i="16"/>
  <c r="M11" i="16"/>
  <c r="J11" i="16"/>
  <c r="G11" i="16"/>
  <c r="AS11" i="16"/>
  <c r="AC11" i="16"/>
  <c r="Y11" i="16"/>
  <c r="U6" i="15" l="1"/>
  <c r="U5" i="15"/>
  <c r="R11" i="15"/>
  <c r="R6" i="15"/>
  <c r="R5" i="15"/>
  <c r="O11" i="15"/>
  <c r="AG11" i="15"/>
  <c r="AD11" i="15"/>
  <c r="AA11" i="15"/>
  <c r="X11" i="15"/>
  <c r="U11" i="15"/>
  <c r="L11" i="15"/>
  <c r="I11" i="15"/>
  <c r="G11" i="15"/>
  <c r="E11" i="15"/>
  <c r="C11" i="15"/>
  <c r="O8" i="13"/>
  <c r="O7" i="13"/>
  <c r="O6" i="13"/>
  <c r="O5" i="13"/>
  <c r="Q7" i="13"/>
  <c r="Q8" i="13"/>
  <c r="V11" i="14"/>
  <c r="T11" i="14"/>
  <c r="R11" i="14"/>
  <c r="P11" i="14"/>
  <c r="L11" i="14"/>
  <c r="J11" i="14"/>
  <c r="H11" i="14"/>
  <c r="F11" i="14"/>
  <c r="E11" i="14"/>
  <c r="D11" i="14"/>
  <c r="C11" i="14"/>
  <c r="N11" i="14"/>
  <c r="J6" i="13"/>
  <c r="J5" i="13"/>
  <c r="Q6" i="13"/>
  <c r="Q5" i="13"/>
  <c r="N11" i="13"/>
  <c r="M11" i="13"/>
  <c r="L11" i="13"/>
  <c r="K11" i="13"/>
  <c r="J11" i="13"/>
  <c r="I11" i="13"/>
  <c r="H11" i="13"/>
  <c r="G11" i="13"/>
  <c r="E11" i="13"/>
  <c r="D11" i="13"/>
  <c r="C11" i="13"/>
  <c r="F11" i="13"/>
  <c r="F6" i="12"/>
  <c r="F5" i="12"/>
  <c r="C11" i="12"/>
  <c r="M11" i="12"/>
  <c r="L11" i="12"/>
  <c r="J11" i="12"/>
  <c r="I11" i="12"/>
  <c r="H11" i="12"/>
  <c r="G11" i="12"/>
  <c r="F11" i="12"/>
  <c r="E11" i="12"/>
  <c r="D11" i="12"/>
  <c r="N11" i="12"/>
  <c r="K11" i="12"/>
  <c r="N6" i="11"/>
  <c r="N5" i="11"/>
  <c r="K6" i="11"/>
  <c r="K5" i="11"/>
  <c r="K11" i="11"/>
  <c r="J11" i="11"/>
  <c r="I11" i="11"/>
  <c r="G11" i="11"/>
  <c r="N11" i="11"/>
  <c r="M11" i="11"/>
  <c r="L11" i="11"/>
  <c r="H11" i="11"/>
  <c r="F11" i="11"/>
  <c r="E11" i="11"/>
  <c r="D11" i="11"/>
  <c r="C11" i="11"/>
  <c r="H11" i="9"/>
  <c r="N11" i="9"/>
  <c r="M11" i="9"/>
  <c r="L11" i="9"/>
  <c r="K11" i="9"/>
  <c r="J11" i="9"/>
  <c r="I11" i="9"/>
  <c r="G11" i="9"/>
  <c r="F11" i="9"/>
  <c r="E11" i="9"/>
  <c r="D11" i="9"/>
  <c r="C11" i="9"/>
  <c r="N12" i="8"/>
  <c r="M12" i="8"/>
  <c r="L12" i="8"/>
  <c r="K12" i="8"/>
  <c r="J12" i="8"/>
  <c r="I12" i="8"/>
  <c r="H12" i="8"/>
  <c r="G12" i="8"/>
  <c r="F12" i="8"/>
  <c r="E12" i="8"/>
  <c r="D12" i="8"/>
  <c r="C12" i="8"/>
  <c r="E12" i="7"/>
  <c r="D12" i="7"/>
  <c r="F12" i="7"/>
  <c r="G12" i="7"/>
  <c r="H12" i="7"/>
  <c r="I12" i="7"/>
  <c r="J12" i="7"/>
  <c r="K12" i="7"/>
  <c r="L12" i="7"/>
  <c r="M12" i="7"/>
  <c r="N12" i="7"/>
  <c r="C12" i="7"/>
</calcChain>
</file>

<file path=xl/sharedStrings.xml><?xml version="1.0" encoding="utf-8"?>
<sst xmlns="http://schemas.openxmlformats.org/spreadsheetml/2006/main" count="255" uniqueCount="37">
  <si>
    <t>Наименование ТСО</t>
  </si>
  <si>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</si>
  <si>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</si>
  <si>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</si>
  <si>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</si>
  <si>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</si>
  <si>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</si>
  <si>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</si>
  <si>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</si>
  <si>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</si>
  <si>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</si>
  <si>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</si>
  <si>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</si>
  <si>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</si>
  <si>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ВН</t>
  </si>
  <si>
    <t>СН1</t>
  </si>
  <si>
    <t>СН2</t>
  </si>
  <si>
    <t>НН</t>
  </si>
  <si>
    <t>ИТОГО</t>
  </si>
  <si>
    <t>ВН1</t>
  </si>
  <si>
    <t>Прочие потребители, кВтч</t>
  </si>
  <si>
    <t>Население, кВтч</t>
  </si>
  <si>
    <t>ОАО "МРСК Центра" - "Курскэнерго"</t>
  </si>
  <si>
    <t>Информация о фактическом полезном отпуске электрической энергии (мощности) потребителям ООО "РУСЭНЕРГОСБЫТ" в границах Курской области в разрезе ТСО за 2014 год</t>
  </si>
  <si>
    <t>Информация о фактическом полезном отпуске электрической энергии (мощности) потребителям ООО "РУСЭНЕРГОСБЫТ" в границах Курской области в разрезе ТСО за 2015 год</t>
  </si>
  <si>
    <t>Информация о фактическом полезном отпуске электрической энергии (мощности) потребителям ООО "РУСЭНЕРГОСБЫТ" в границах Курской области в разрезе ТСО за 2016 год</t>
  </si>
  <si>
    <t>ПАО "МРСК Центра" - "Курскэнерго"</t>
  </si>
  <si>
    <t>Информация о фактическом полезном отпуске электрической энергии (мощности) потребителям ООО "РУСЭНЕРГОСБЫТ" в границах Курской области в разрезе ТСО за 2017 год</t>
  </si>
  <si>
    <t>Информация о фактическом полезном отпуске электрической энергии (мощности) потребителям ООО "РУСЭНЕРГОСБЫТ" в границах Курской области в разрезе ТСО за 2018 год</t>
  </si>
  <si>
    <t>Информация о фактическом полезном отпуске электрической энергии (мощности) потребителям ООО "РУСЭНЕРГОСБЫТ" в границах Курской области в разрезе ТСО за 2019 год</t>
  </si>
  <si>
    <t>Информация о фактическом полезном отпуске электрической энергии (мощности) потребителям ООО "РУСЭНЕРГОСБЫТ" в границах Курской области в разрезе ТСО за 2020 год</t>
  </si>
  <si>
    <t>Филиал ПАО "МРСК Центра" - "Курскэнерго"</t>
  </si>
  <si>
    <t>Информация о фактическом полезном отпуске электрической энергии (мощности) потребителям ООО "РУСЭНЕРГОСБЫТ" в границах Курской области в разрезе ТСО за 2021 год</t>
  </si>
  <si>
    <t>филиал ПАО "Россети Центр" - "Курскэнерго"</t>
  </si>
  <si>
    <t>Информация о фактическом полезном отпуске электрической энергии (мощности) потребителям ООО "РУСЭНЕРГОСБЫТ" в границах Курской области в разрезе ТСО за 2022 год</t>
  </si>
  <si>
    <t>Информация о фактическом полезном отпуске электрической энергии (мощности) потребителям ООО "РУСЭНЕРГОСБЫТ" в границах Курской области в разрезе ТСО за 2023 год</t>
  </si>
  <si>
    <t>Информация о фактическом полезном отпуске электрической энергии (мощности) потребителям ООО "РУСЭНЕРГОСБЫТ" в границах Курской области в разрезе ТСО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</si>
</sst>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/>
    <xf numFmtId="3" fontId="2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2" fillId="0" borderId="7" xfId="0" applyNumberFormat="1" applyFont="1" applyFill="1" applyBorder="1" applyAlignment="1">
      <alignment horizontal="center" vertical="center"/>
    </xf>
    <xf numFmtId="3" fontId="0" fillId="0" borderId="0" xfId="0" applyNumberFormat="1"/>
    <xf numFmtId="1" fontId="0" fillId="0" borderId="0" xfId="0" applyNumberFormat="1"/>
    <xf numFmtId="3" fontId="5" fillId="0" borderId="0" xfId="0" applyNumberFormat="1" applyFont="1"/>
    <xf numFmtId="0" fontId="6" fillId="0" borderId="0" xfId="0" applyFont="1"/>
    <xf numFmtId="3" fontId="7" fillId="0" borderId="7" xfId="0" applyNumberFormat="1" applyFont="1" applyFill="1" applyBorder="1" applyAlignment="1">
      <alignment horizontal="center" vertical="center"/>
    </xf>
    <xf numFmtId="3" fontId="8" fillId="0" borderId="7" xfId="0" applyNumberFormat="1" applyFont="1" applyFill="1" applyBorder="1" applyAlignment="1">
      <alignment horizontal="center" vertical="center"/>
    </xf>
    <xf numFmtId="0" fontId="5" fillId="0" borderId="0" xfId="0" applyFont="1"/>
    <xf numFmtId="3" fontId="2" fillId="2" borderId="3" xfId="0" applyNumberFormat="1" applyFont="1" applyFill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/>
    </xf>
    <xf numFmtId="3" fontId="2" fillId="0" borderId="0" xfId="0" applyNumberFormat="1" applyFont="1"/>
    <xf numFmtId="4" fontId="0" fillId="0" borderId="0" xfId="0" applyNumberFormat="1"/>
    <xf numFmtId="3" fontId="7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00FF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0;&#1091;&#1088;&#1089;&#1082;/02/&#1088;&#1086;&#1079;&#1085;&#1080;&#1094;&#1072;/&#1055;&#1088;&#1086;&#1074;&#1077;&#1088;&#1082;&#1072;_02202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0;&#1091;&#1088;&#1089;&#1082;/06/&#1088;&#1086;&#1079;&#1085;&#1080;&#1094;&#1072;/&#1055;&#1088;&#1086;&#1074;&#1077;&#1088;&#1082;&#1072;_06202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0;&#1091;&#1088;&#1089;&#1082;/08/&#1052;&#1056;&#1057;&#1050;%20&#1087;&#1088;&#1086;&#1074;&#1077;&#1088;&#1082;&#1072;%20&#1089;&#1077;&#1090;&#1080;/&#1057;&#1074;&#1086;&#1076;&#1085;&#1080;&#1082;%20&#1087;&#1086;%20&#1089;&#1077;&#1095;&#1077;&#1085;&#1080;&#1103;&#1084;%20&#1050;&#1091;&#1088;&#1089;&#1082;_08202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0;&#1091;&#1088;&#1089;&#1082;/08/&#1088;&#1086;&#1079;&#1085;&#1080;&#1094;&#1072;/&#1055;&#1088;&#1086;&#1074;&#1077;&#1088;&#1082;&#1072;_08202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0;&#1091;&#1088;&#1089;&#1082;/09/&#1052;&#1056;&#1057;&#1050;%20&#1087;&#1088;&#1086;&#1074;&#1077;&#1088;&#1082;&#1072;%20&#1089;&#1077;&#1090;&#1080;/&#1057;&#1074;&#1086;&#1076;&#1085;&#1080;&#1082;%20&#1087;&#1086;%20&#1089;&#1077;&#1095;&#1077;&#1085;&#1080;&#1103;&#1084;%20&#1050;&#1091;&#1088;&#1089;&#1082;_09202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0;&#1091;&#1088;&#1089;&#1082;/09/&#1088;&#1086;&#1079;&#1085;&#1080;&#1094;&#1072;/&#1055;&#1088;&#1086;&#1074;&#1077;&#1088;&#1082;&#1072;_09202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0;&#1091;&#1088;&#1089;&#1082;/10/&#1052;&#1056;&#1057;&#1050;%20&#1087;&#1088;&#1086;&#1074;&#1077;&#1088;&#1082;&#1072;%20&#1089;&#1077;&#1090;&#1080;/&#1057;&#1074;&#1086;&#1076;&#1085;&#1080;&#1082;%20&#1087;&#1086;%20&#1089;&#1077;&#1095;&#1077;&#1085;&#1080;&#1103;&#1084;%20&#1050;&#1091;&#1088;&#1089;&#1082;_10202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0;&#1091;&#1088;&#1089;&#1082;/10/&#1088;&#1086;&#1079;&#1085;&#1080;&#1094;&#1072;/&#1055;&#1088;&#1086;&#1074;&#1077;&#1088;&#1082;&#1072;_10202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0;&#1091;&#1088;&#1089;&#1082;/11/&#1052;&#1056;&#1057;&#1050;%20&#1087;&#1088;&#1086;&#1074;&#1077;&#1088;&#1082;&#1072;%20&#1089;&#1077;&#1090;&#1080;/&#1057;&#1074;&#1086;&#1076;&#1085;&#1080;&#1082;%20&#1087;&#1086;%20&#1089;&#1077;&#1095;&#1077;&#1085;&#1080;&#1103;&#1084;%20&#1050;&#1091;&#1088;&#1089;&#1082;_112022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0;&#1091;&#1088;&#1089;&#1082;/11/&#1088;&#1086;&#1079;&#1085;&#1080;&#1094;&#1072;/&#1055;&#1088;&#1086;&#1074;&#1077;&#1088;&#1082;&#1072;_11202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3/&#1050;&#1091;&#1088;&#1089;&#1082;/06/&#1052;&#1056;&#1057;&#1050;%20&#1087;&#1088;&#1086;&#1074;&#1077;&#1088;&#1082;&#1072;%20&#1089;&#1077;&#1090;&#1080;/&#1057;&#1074;&#1086;&#1076;&#1085;&#1080;&#1082;%20&#1087;&#1086;%20&#1089;&#1077;&#1095;&#1077;&#1085;&#1080;&#1103;&#1084;%20&#1050;&#1091;&#1088;&#1089;&#1082;_06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0;&#1091;&#1088;&#1089;&#1082;/02/&#1052;&#1056;&#1057;&#1050;%20&#1087;&#1088;&#1086;&#1074;&#1077;&#1088;&#1082;&#1072;%20&#1089;&#1077;&#1090;&#1080;/&#1057;&#1074;&#1086;&#1076;&#1085;&#1080;&#1082;%20&#1087;&#1086;%20&#1089;&#1077;&#1095;&#1077;&#1085;&#1080;&#1103;&#1084;%20&#1050;&#1091;&#1088;&#1089;&#1082;_022022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3/&#1050;&#1091;&#1088;&#1089;&#1082;/06/&#1088;&#1086;&#1079;&#1085;&#1080;&#1094;&#1072;/&#1055;&#1088;&#1086;&#1074;&#1077;&#1088;&#1082;&#1072;_06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0;&#1091;&#1088;&#1089;&#1082;/03/&#1088;&#1086;&#1079;&#1085;&#1080;&#1094;&#1072;/&#1055;&#1088;&#1086;&#1074;&#1077;&#1088;&#1082;&#1072;_03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0;&#1091;&#1088;&#1089;&#1082;/03/&#1052;&#1056;&#1057;&#1050;%20&#1087;&#1088;&#1086;&#1074;&#1077;&#1088;&#1082;&#1072;%20&#1089;&#1077;&#1090;&#1080;/&#1057;&#1074;&#1086;&#1076;&#1085;&#1080;&#1082;%20&#1087;&#1086;%20&#1089;&#1077;&#1095;&#1077;&#1085;&#1080;&#1103;&#1084;%20&#1050;&#1091;&#1088;&#1089;&#1082;_03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0;&#1091;&#1088;&#1089;&#1082;/04/&#1088;&#1086;&#1079;&#1085;&#1080;&#1094;&#1072;/&#1055;&#1088;&#1086;&#1074;&#1077;&#1088;&#1082;&#1072;_0420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0;&#1091;&#1088;&#1089;&#1082;/04/&#1052;&#1056;&#1057;&#1050;%20&#1087;&#1088;&#1086;&#1074;&#1077;&#1088;&#1082;&#1072;%20&#1089;&#1077;&#1090;&#1080;/&#1057;&#1074;&#1086;&#1076;&#1085;&#1080;&#1082;%20&#1087;&#1086;%20&#1089;&#1077;&#1095;&#1077;&#1085;&#1080;&#1103;&#1084;%20&#1050;&#1091;&#1088;&#1089;&#1082;_04202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0;&#1091;&#1088;&#1089;&#1082;/05/&#1052;&#1056;&#1057;&#1050;%20&#1087;&#1088;&#1086;&#1074;&#1077;&#1088;&#1082;&#1072;%20&#1089;&#1077;&#1090;&#1080;/&#1057;&#1074;&#1086;&#1076;&#1085;&#1080;&#1082;%20&#1087;&#1086;%20&#1089;&#1077;&#1095;&#1077;&#1085;&#1080;&#1103;&#1084;%20&#1050;&#1091;&#1088;&#1089;&#1082;_05202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0;&#1091;&#1088;&#1089;&#1082;/05/&#1088;&#1086;&#1079;&#1085;&#1080;&#1094;&#1072;/&#1055;&#1088;&#1086;&#1074;&#1077;&#1088;&#1082;&#1072;_05202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0;&#1091;&#1088;&#1089;&#1082;/06/&#1052;&#1056;&#1057;&#1050;%20&#1087;&#1088;&#1086;&#1074;&#1077;&#1088;&#1082;&#1072;%20&#1089;&#1077;&#1090;&#1080;/&#1057;&#1074;&#1086;&#1076;&#1085;&#1080;&#1082;%20&#1087;&#1086;%20&#1089;&#1077;&#1095;&#1077;&#1085;&#1080;&#1103;&#1084;%20&#1050;&#1091;&#1088;&#1089;&#1082;_06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"/>
      <sheetName val="атс"/>
      <sheetName val="проверка цены"/>
      <sheetName val="мощность КО"/>
    </sheetNames>
    <sheetDataSet>
      <sheetData sheetId="0">
        <row r="19">
          <cell r="O19">
            <v>2355755</v>
          </cell>
        </row>
        <row r="20">
          <cell r="O20">
            <v>238858</v>
          </cell>
        </row>
        <row r="21">
          <cell r="O21">
            <v>188154</v>
          </cell>
        </row>
        <row r="22">
          <cell r="O22">
            <v>23403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"/>
      <sheetName val="атс"/>
      <sheetName val="проверка цены"/>
      <sheetName val="мощность КО"/>
    </sheetNames>
    <sheetDataSet>
      <sheetData sheetId="0">
        <row r="19">
          <cell r="O19">
            <v>817831</v>
          </cell>
        </row>
        <row r="20">
          <cell r="O20">
            <v>44309</v>
          </cell>
        </row>
        <row r="21">
          <cell r="O21">
            <v>61752</v>
          </cell>
        </row>
        <row r="22">
          <cell r="O22">
            <v>19276</v>
          </cell>
        </row>
      </sheetData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"/>
      <sheetName val="Расчет потерь"/>
    </sheetNames>
    <sheetDataSet>
      <sheetData sheetId="0">
        <row r="141">
          <cell r="L141">
            <v>3753957</v>
          </cell>
        </row>
        <row r="142">
          <cell r="L142">
            <v>3391975</v>
          </cell>
        </row>
        <row r="143">
          <cell r="L143">
            <v>361982</v>
          </cell>
        </row>
      </sheetData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"/>
      <sheetName val="атс"/>
      <sheetName val="проверка цены"/>
      <sheetName val="мощность КО"/>
    </sheetNames>
    <sheetDataSet>
      <sheetData sheetId="0">
        <row r="13">
          <cell r="N13">
            <v>955007</v>
          </cell>
        </row>
        <row r="19">
          <cell r="O19">
            <v>739319</v>
          </cell>
        </row>
        <row r="20">
          <cell r="O20">
            <v>136106</v>
          </cell>
        </row>
        <row r="21">
          <cell r="O21">
            <v>62172</v>
          </cell>
        </row>
        <row r="22">
          <cell r="O22">
            <v>17410</v>
          </cell>
        </row>
      </sheetData>
      <sheetData sheetId="1"/>
      <sheetData sheetId="2"/>
      <sheetData sheetId="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"/>
      <sheetName val="Расчет потерь"/>
    </sheetNames>
    <sheetDataSet>
      <sheetData sheetId="0">
        <row r="141">
          <cell r="L141">
            <v>3594906</v>
          </cell>
        </row>
        <row r="142">
          <cell r="L142">
            <v>3292480</v>
          </cell>
        </row>
        <row r="143">
          <cell r="L143">
            <v>302426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"/>
      <sheetName val="атс"/>
      <sheetName val="проверка цены"/>
      <sheetName val="мощность КО"/>
    </sheetNames>
    <sheetDataSet>
      <sheetData sheetId="0">
        <row r="19">
          <cell r="O19">
            <v>1000359</v>
          </cell>
        </row>
        <row r="20">
          <cell r="O20">
            <v>138319</v>
          </cell>
        </row>
        <row r="21">
          <cell r="O21">
            <v>73514</v>
          </cell>
        </row>
        <row r="22">
          <cell r="O22">
            <v>15414</v>
          </cell>
        </row>
      </sheetData>
      <sheetData sheetId="1"/>
      <sheetData sheetId="2"/>
      <sheetData sheetId="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"/>
      <sheetName val="Расчет потерь"/>
    </sheetNames>
    <sheetDataSet>
      <sheetData sheetId="0">
        <row r="141">
          <cell r="L141">
            <v>3452186</v>
          </cell>
        </row>
        <row r="142">
          <cell r="L142">
            <v>3119794</v>
          </cell>
        </row>
        <row r="143">
          <cell r="L143">
            <v>332392</v>
          </cell>
        </row>
      </sheetData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"/>
      <sheetName val="атс"/>
      <sheetName val="проверка цены"/>
      <sheetName val="мощность КО"/>
    </sheetNames>
    <sheetDataSet>
      <sheetData sheetId="0">
        <row r="19">
          <cell r="O19">
            <v>1588076</v>
          </cell>
        </row>
        <row r="20">
          <cell r="O20">
            <v>117670</v>
          </cell>
        </row>
        <row r="21">
          <cell r="O21">
            <v>98737</v>
          </cell>
        </row>
        <row r="22">
          <cell r="O22">
            <v>17569</v>
          </cell>
        </row>
      </sheetData>
      <sheetData sheetId="1"/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"/>
      <sheetName val="Расчет потерь"/>
    </sheetNames>
    <sheetDataSet>
      <sheetData sheetId="0">
        <row r="142">
          <cell r="L142">
            <v>3823586</v>
          </cell>
        </row>
        <row r="143">
          <cell r="L143">
            <v>338475</v>
          </cell>
        </row>
      </sheetData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"/>
      <sheetName val="атс"/>
      <sheetName val="проверка цены"/>
      <sheetName val="мощность КО"/>
    </sheetNames>
    <sheetDataSet>
      <sheetData sheetId="0">
        <row r="19">
          <cell r="O19">
            <v>2068005</v>
          </cell>
        </row>
        <row r="20">
          <cell r="O20">
            <v>212987</v>
          </cell>
        </row>
        <row r="21">
          <cell r="O21">
            <v>123444</v>
          </cell>
        </row>
        <row r="22">
          <cell r="O22">
            <v>24308</v>
          </cell>
        </row>
      </sheetData>
      <sheetData sheetId="1"/>
      <sheetData sheetId="2"/>
      <sheetData sheetId="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"/>
      <sheetName val="Расчет потерь"/>
    </sheetNames>
    <sheetDataSet>
      <sheetData sheetId="0">
        <row r="142">
          <cell r="L142">
            <v>3776033</v>
          </cell>
        </row>
        <row r="143">
          <cell r="L143">
            <v>336422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"/>
      <sheetName val="Расчет потерь"/>
    </sheetNames>
    <sheetDataSet>
      <sheetData sheetId="0">
        <row r="142">
          <cell r="L142">
            <v>3201612</v>
          </cell>
        </row>
        <row r="143">
          <cell r="L143">
            <v>455040</v>
          </cell>
        </row>
      </sheetData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"/>
      <sheetName val="атс"/>
      <sheetName val="проверка цены"/>
      <sheetName val="мощность КО"/>
    </sheetNames>
    <sheetDataSet>
      <sheetData sheetId="0">
        <row r="19">
          <cell r="O19">
            <v>822280</v>
          </cell>
        </row>
        <row r="20">
          <cell r="O20">
            <v>48049</v>
          </cell>
        </row>
        <row r="21">
          <cell r="O21">
            <v>58485</v>
          </cell>
        </row>
        <row r="22">
          <cell r="O22">
            <v>16181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"/>
      <sheetName val="атс"/>
      <sheetName val="проверка цены"/>
      <sheetName val="мощность КО"/>
    </sheetNames>
    <sheetDataSet>
      <sheetData sheetId="0">
        <row r="19">
          <cell r="O19">
            <v>2468263</v>
          </cell>
        </row>
        <row r="20">
          <cell r="O20">
            <v>254959</v>
          </cell>
        </row>
        <row r="21">
          <cell r="O21">
            <v>167625</v>
          </cell>
        </row>
        <row r="22">
          <cell r="O22">
            <v>20184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"/>
      <sheetName val="Расчет потерь"/>
    </sheetNames>
    <sheetDataSet>
      <sheetData sheetId="0">
        <row r="143">
          <cell r="L143">
            <v>3778951</v>
          </cell>
        </row>
        <row r="144">
          <cell r="L144">
            <v>3318430</v>
          </cell>
        </row>
        <row r="145">
          <cell r="L145">
            <v>460521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"/>
      <sheetName val="атс"/>
      <sheetName val="проверка цены"/>
      <sheetName val="мощность КО"/>
    </sheetNames>
    <sheetDataSet>
      <sheetData sheetId="0">
        <row r="19">
          <cell r="O19">
            <v>1595898</v>
          </cell>
        </row>
        <row r="20">
          <cell r="O20">
            <v>123085</v>
          </cell>
        </row>
        <row r="21">
          <cell r="O21">
            <v>112168</v>
          </cell>
        </row>
        <row r="22">
          <cell r="O22">
            <v>19721</v>
          </cell>
        </row>
      </sheetData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"/>
      <sheetName val="Расчет потерь"/>
    </sheetNames>
    <sheetDataSet>
      <sheetData sheetId="0">
        <row r="142">
          <cell r="L142">
            <v>3286513</v>
          </cell>
        </row>
        <row r="143">
          <cell r="L143">
            <v>2901379</v>
          </cell>
        </row>
        <row r="144">
          <cell r="L144">
            <v>385134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"/>
      <sheetName val="Расчет потерь"/>
    </sheetNames>
    <sheetDataSet>
      <sheetData sheetId="0">
        <row r="141">
          <cell r="L141">
            <v>3792112</v>
          </cell>
        </row>
        <row r="142">
          <cell r="L142">
            <v>3431605</v>
          </cell>
        </row>
        <row r="143">
          <cell r="L143">
            <v>360507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"/>
      <sheetName val="атс"/>
      <sheetName val="проверка цены"/>
      <sheetName val="мощность КО"/>
    </sheetNames>
    <sheetDataSet>
      <sheetData sheetId="0">
        <row r="19">
          <cell r="O19">
            <v>1052870</v>
          </cell>
        </row>
        <row r="20">
          <cell r="O20">
            <v>48659</v>
          </cell>
        </row>
        <row r="21">
          <cell r="O21">
            <v>63052</v>
          </cell>
        </row>
        <row r="22">
          <cell r="O22">
            <v>16481</v>
          </cell>
        </row>
      </sheetData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"/>
      <sheetName val="Расчет потерь"/>
    </sheetNames>
    <sheetDataSet>
      <sheetData sheetId="0">
        <row r="141">
          <cell r="L141">
            <v>3542740</v>
          </cell>
        </row>
        <row r="142">
          <cell r="L142">
            <v>3092815</v>
          </cell>
        </row>
        <row r="143">
          <cell r="L143">
            <v>449925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activeCell="D18" sqref="D18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4" t="s">
        <v>23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25" t="s">
        <v>22</v>
      </c>
      <c r="B4" s="27" t="s">
        <v>20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9"/>
    </row>
    <row r="5" spans="1:14" ht="22.5" customHeight="1" x14ac:dyDescent="0.25">
      <c r="A5" s="26"/>
      <c r="B5" s="5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26"/>
      <c r="B6" s="5" t="s">
        <v>14</v>
      </c>
      <c r="C6" s="3">
        <v>4565619</v>
      </c>
      <c r="D6" s="3">
        <v>4044774</v>
      </c>
      <c r="E6" s="3">
        <v>4387737</v>
      </c>
      <c r="F6" s="3">
        <v>4120433</v>
      </c>
      <c r="G6" s="3">
        <v>4167202</v>
      </c>
      <c r="H6" s="3">
        <v>3314265</v>
      </c>
      <c r="I6" s="3">
        <v>3571296</v>
      </c>
      <c r="J6" s="3">
        <v>3574868</v>
      </c>
      <c r="K6" s="3">
        <v>3003955</v>
      </c>
      <c r="L6" s="3">
        <v>3478259</v>
      </c>
      <c r="M6" s="3">
        <v>3798648</v>
      </c>
      <c r="N6" s="3">
        <v>4053046</v>
      </c>
    </row>
    <row r="7" spans="1:14" ht="22.5" customHeight="1" x14ac:dyDescent="0.25">
      <c r="A7" s="26"/>
      <c r="B7" s="5" t="s">
        <v>15</v>
      </c>
      <c r="C7" s="3">
        <v>777826</v>
      </c>
      <c r="D7" s="3">
        <v>588111</v>
      </c>
      <c r="E7" s="3">
        <v>430684</v>
      </c>
      <c r="F7" s="3">
        <v>302486</v>
      </c>
      <c r="G7" s="3">
        <v>262349</v>
      </c>
      <c r="H7" s="3">
        <v>386927</v>
      </c>
      <c r="I7" s="3">
        <v>485393</v>
      </c>
      <c r="J7" s="3">
        <v>324886</v>
      </c>
      <c r="K7" s="3">
        <v>407839</v>
      </c>
      <c r="L7" s="3">
        <v>439377</v>
      </c>
      <c r="M7" s="3">
        <v>279672</v>
      </c>
      <c r="N7" s="3">
        <v>393502</v>
      </c>
    </row>
    <row r="8" spans="1:14" ht="22.5" customHeight="1" x14ac:dyDescent="0.25">
      <c r="A8" s="26"/>
      <c r="B8" s="5" t="s">
        <v>16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2.5" customHeight="1" x14ac:dyDescent="0.25">
      <c r="A9" s="26"/>
      <c r="B9" s="5" t="s">
        <v>17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22.5" customHeight="1" x14ac:dyDescent="0.25">
      <c r="A10" s="26"/>
      <c r="B10" s="27" t="s">
        <v>21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9"/>
    </row>
    <row r="11" spans="1:14" ht="22.5" customHeight="1" x14ac:dyDescent="0.25">
      <c r="A11" s="26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22.5" customHeight="1" x14ac:dyDescent="0.25">
      <c r="A12" s="30" t="s">
        <v>18</v>
      </c>
      <c r="B12" s="31"/>
      <c r="C12" s="9">
        <f t="shared" ref="C12:N12" si="0">SUM(C5:C9,C11)</f>
        <v>5343445</v>
      </c>
      <c r="D12" s="9">
        <f t="shared" si="0"/>
        <v>4632885</v>
      </c>
      <c r="E12" s="9">
        <f t="shared" si="0"/>
        <v>4818421</v>
      </c>
      <c r="F12" s="9">
        <f t="shared" si="0"/>
        <v>4422919</v>
      </c>
      <c r="G12" s="9">
        <f t="shared" si="0"/>
        <v>4429551</v>
      </c>
      <c r="H12" s="9">
        <f t="shared" si="0"/>
        <v>3701192</v>
      </c>
      <c r="I12" s="9">
        <f t="shared" si="0"/>
        <v>4056689</v>
      </c>
      <c r="J12" s="9">
        <f t="shared" si="0"/>
        <v>3899754</v>
      </c>
      <c r="K12" s="9">
        <f t="shared" si="0"/>
        <v>3411794</v>
      </c>
      <c r="L12" s="9">
        <f t="shared" si="0"/>
        <v>3917636</v>
      </c>
      <c r="M12" s="9">
        <f t="shared" si="0"/>
        <v>4078320</v>
      </c>
      <c r="N12" s="9">
        <f t="shared" si="0"/>
        <v>4446548</v>
      </c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zoomScale="85" zoomScaleNormal="85" workbookViewId="0">
      <pane xSplit="2" ySplit="4" topLeftCell="M5" activePane="bottomRight" state="frozen"/>
      <selection pane="topRight" activeCell="C1" sqref="C1"/>
      <selection pane="bottomLeft" activeCell="A5" sqref="A5"/>
      <selection pane="bottomRight" sqref="A1:XFD1048576"/>
    </sheetView>
  </sheetViews>
  <sheetFormatPr defaultRowHeight="15" x14ac:dyDescent="0.25"/>
  <cols>
    <col min="1" max="1" width="16.85546875" customWidth="1"/>
    <col min="2" max="2" width="13.85546875" customWidth="1"/>
    <col min="3" max="3" width="21.42578125" customWidth="1"/>
    <col min="4" max="4" width="20.42578125" customWidth="1"/>
    <col min="5" max="5" width="17.28515625" customWidth="1"/>
    <col min="6" max="6" width="19.140625" customWidth="1"/>
    <col min="7" max="7" width="19.7109375" customWidth="1"/>
    <col min="8" max="8" width="21.85546875" customWidth="1"/>
    <col min="9" max="9" width="21.5703125" customWidth="1"/>
    <col min="10" max="10" width="20.85546875" customWidth="1"/>
    <col min="11" max="11" width="22.85546875" customWidth="1"/>
    <col min="12" max="12" width="20.7109375" customWidth="1"/>
    <col min="13" max="13" width="18.5703125" customWidth="1"/>
    <col min="14" max="14" width="18.28515625" customWidth="1"/>
    <col min="15" max="15" width="13.42578125" customWidth="1"/>
    <col min="16" max="16" width="11" customWidth="1"/>
    <col min="17" max="17" width="12.1406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7" x14ac:dyDescent="0.25">
      <c r="A2" s="24" t="s">
        <v>35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7" ht="28.5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7" x14ac:dyDescent="0.25">
      <c r="A4" s="25" t="s">
        <v>33</v>
      </c>
      <c r="B4" s="27" t="s">
        <v>20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9"/>
    </row>
    <row r="5" spans="1:17" x14ac:dyDescent="0.25">
      <c r="A5" s="26"/>
      <c r="B5" s="5" t="s">
        <v>14</v>
      </c>
      <c r="C5" s="3">
        <v>6983229</v>
      </c>
      <c r="D5" s="3">
        <v>5689597</v>
      </c>
      <c r="E5" s="3">
        <v>5943130</v>
      </c>
      <c r="F5" s="3">
        <v>5225280</v>
      </c>
      <c r="G5" s="3">
        <v>5320642</v>
      </c>
      <c r="H5" s="3">
        <v>4598313</v>
      </c>
      <c r="I5" s="3">
        <v>4458459</v>
      </c>
      <c r="J5" s="3">
        <v>4743561</v>
      </c>
      <c r="K5" s="3">
        <v>4128886</v>
      </c>
      <c r="L5" s="3">
        <v>5214305</v>
      </c>
      <c r="M5" s="3">
        <v>5169612</v>
      </c>
      <c r="N5" s="3">
        <v>6243254</v>
      </c>
      <c r="O5" s="23">
        <f>[19]Итог!$L$142+[20]я!$O$19</f>
        <v>4598313</v>
      </c>
      <c r="P5" s="12"/>
      <c r="Q5" s="12"/>
    </row>
    <row r="6" spans="1:17" x14ac:dyDescent="0.25">
      <c r="A6" s="26"/>
      <c r="B6" s="5" t="s">
        <v>15</v>
      </c>
      <c r="C6" s="3">
        <v>895460</v>
      </c>
      <c r="D6" s="3">
        <v>906718</v>
      </c>
      <c r="E6" s="3">
        <v>873455</v>
      </c>
      <c r="F6" s="3">
        <v>579207</v>
      </c>
      <c r="G6" s="3">
        <v>437271</v>
      </c>
      <c r="H6" s="3">
        <v>384471</v>
      </c>
      <c r="I6" s="3">
        <v>669278</v>
      </c>
      <c r="J6" s="3">
        <v>728199</v>
      </c>
      <c r="K6" s="3">
        <v>687198</v>
      </c>
      <c r="L6" s="3">
        <v>919988</v>
      </c>
      <c r="M6" s="3">
        <v>1298515</v>
      </c>
      <c r="N6" s="3">
        <v>1395482</v>
      </c>
      <c r="O6" s="23">
        <f>[19]Итог!$L$143+[20]я!$O$20</f>
        <v>384471</v>
      </c>
      <c r="P6" s="12"/>
      <c r="Q6" s="12"/>
    </row>
    <row r="7" spans="1:17" x14ac:dyDescent="0.25">
      <c r="A7" s="26"/>
      <c r="B7" s="5" t="s">
        <v>16</v>
      </c>
      <c r="C7" s="3">
        <v>187483</v>
      </c>
      <c r="D7" s="3">
        <v>169207</v>
      </c>
      <c r="E7" s="3">
        <v>150235</v>
      </c>
      <c r="F7" s="3">
        <v>93727</v>
      </c>
      <c r="G7" s="3">
        <v>66163</v>
      </c>
      <c r="H7" s="3">
        <v>58485</v>
      </c>
      <c r="I7" s="3">
        <v>62342</v>
      </c>
      <c r="J7" s="3">
        <v>68851</v>
      </c>
      <c r="K7" s="3">
        <v>52800</v>
      </c>
      <c r="L7" s="3">
        <v>113736</v>
      </c>
      <c r="M7" s="3">
        <v>139594</v>
      </c>
      <c r="N7" s="3">
        <v>191281</v>
      </c>
      <c r="O7" s="23">
        <f>[20]я!$O$21</f>
        <v>58485</v>
      </c>
      <c r="Q7" s="12"/>
    </row>
    <row r="8" spans="1:17" x14ac:dyDescent="0.25">
      <c r="A8" s="26"/>
      <c r="B8" s="5" t="s">
        <v>17</v>
      </c>
      <c r="C8" s="3">
        <v>24333</v>
      </c>
      <c r="D8" s="3">
        <v>25343</v>
      </c>
      <c r="E8" s="3">
        <v>10197</v>
      </c>
      <c r="F8" s="3">
        <v>24572</v>
      </c>
      <c r="G8" s="3">
        <v>19532</v>
      </c>
      <c r="H8" s="3">
        <v>16181</v>
      </c>
      <c r="I8" s="3">
        <v>16798</v>
      </c>
      <c r="J8" s="3">
        <v>16384</v>
      </c>
      <c r="K8" s="3">
        <v>15031</v>
      </c>
      <c r="L8" s="3">
        <v>15025</v>
      </c>
      <c r="M8" s="3">
        <v>19102</v>
      </c>
      <c r="N8" s="3">
        <v>17679</v>
      </c>
      <c r="O8" s="23">
        <f>[20]я!$O$22</f>
        <v>16181</v>
      </c>
      <c r="Q8" s="12"/>
    </row>
    <row r="9" spans="1:17" x14ac:dyDescent="0.25">
      <c r="A9" s="26"/>
      <c r="B9" s="27" t="s">
        <v>21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9"/>
    </row>
    <row r="10" spans="1:17" x14ac:dyDescent="0.25">
      <c r="A10" s="26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7" x14ac:dyDescent="0.25">
      <c r="A11" s="30" t="s">
        <v>18</v>
      </c>
      <c r="B11" s="31"/>
      <c r="C11" s="9">
        <f t="shared" ref="C11:N11" si="0">SUM(C5:C8,C10)</f>
        <v>8090505</v>
      </c>
      <c r="D11" s="9">
        <f t="shared" si="0"/>
        <v>6790865</v>
      </c>
      <c r="E11" s="9">
        <f t="shared" si="0"/>
        <v>6977017</v>
      </c>
      <c r="F11" s="9">
        <f t="shared" si="0"/>
        <v>5922786</v>
      </c>
      <c r="G11" s="9">
        <f t="shared" si="0"/>
        <v>5843608</v>
      </c>
      <c r="H11" s="9">
        <f>SUM(H5:H8,H10)</f>
        <v>5057450</v>
      </c>
      <c r="I11" s="9">
        <f>SUM(I5:I8,I10)</f>
        <v>5206877</v>
      </c>
      <c r="J11" s="9">
        <f>SUM(J5:J8,J10)</f>
        <v>5556995</v>
      </c>
      <c r="K11" s="9">
        <f>SUM(K5:K8,K10)</f>
        <v>4883915</v>
      </c>
      <c r="L11" s="9">
        <f t="shared" si="0"/>
        <v>6263054</v>
      </c>
      <c r="M11" s="9">
        <f t="shared" si="0"/>
        <v>6626823</v>
      </c>
      <c r="N11" s="9">
        <f t="shared" si="0"/>
        <v>7847696</v>
      </c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21"/>
    </row>
    <row r="13" spans="1:17" x14ac:dyDescent="0.25">
      <c r="D13" s="2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7" x14ac:dyDescent="0.25">
      <c r="E14" s="12"/>
      <c r="F14" s="12"/>
      <c r="G14" s="12"/>
      <c r="H14" s="12"/>
      <c r="I14" s="12"/>
      <c r="J14" s="12"/>
      <c r="K14" s="12"/>
      <c r="L14" s="12"/>
      <c r="M14" s="12"/>
    </row>
    <row r="15" spans="1:17" x14ac:dyDescent="0.25">
      <c r="C15" s="12"/>
      <c r="D15" s="12"/>
      <c r="K15" s="13"/>
    </row>
    <row r="17" spans="6:10" x14ac:dyDescent="0.25">
      <c r="F17" s="12"/>
    </row>
    <row r="18" spans="6:10" x14ac:dyDescent="0.25">
      <c r="J18" s="13"/>
    </row>
    <row r="20" spans="6:10" x14ac:dyDescent="0.25">
      <c r="F20" s="12"/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workbookViewId="0">
      <pane xSplit="2" ySplit="4" topLeftCell="H5" activePane="bottomRight" state="frozen"/>
      <selection pane="topRight" activeCell="C1" sqref="C1"/>
      <selection pane="bottomLeft" activeCell="A5" sqref="A5"/>
      <selection pane="bottomRight" activeCell="Q9" sqref="Q9"/>
    </sheetView>
  </sheetViews>
  <sheetFormatPr defaultRowHeight="15" x14ac:dyDescent="0.25"/>
  <cols>
    <col min="1" max="1" width="16.85546875" customWidth="1"/>
    <col min="2" max="2" width="13.85546875" customWidth="1"/>
    <col min="3" max="3" width="21.42578125" customWidth="1"/>
    <col min="4" max="4" width="20.42578125" customWidth="1"/>
    <col min="5" max="5" width="17.28515625" customWidth="1"/>
    <col min="6" max="6" width="19.140625" customWidth="1"/>
    <col min="7" max="7" width="19.7109375" customWidth="1"/>
    <col min="8" max="8" width="21.85546875" customWidth="1"/>
    <col min="9" max="9" width="21.5703125" customWidth="1"/>
    <col min="10" max="10" width="20.85546875" customWidth="1"/>
    <col min="11" max="11" width="22.85546875" customWidth="1"/>
    <col min="12" max="12" width="20.7109375" customWidth="1"/>
    <col min="13" max="13" width="18.5703125" customWidth="1"/>
    <col min="14" max="14" width="18.28515625" customWidth="1"/>
    <col min="15" max="15" width="13.42578125" customWidth="1"/>
    <col min="16" max="16" width="11" customWidth="1"/>
    <col min="17" max="17" width="12.140625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8" x14ac:dyDescent="0.25">
      <c r="A2" s="24" t="s">
        <v>36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8" ht="28.5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8" x14ac:dyDescent="0.25">
      <c r="A4" s="25" t="s">
        <v>33</v>
      </c>
      <c r="B4" s="27" t="s">
        <v>20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9"/>
    </row>
    <row r="5" spans="1:18" x14ac:dyDescent="0.25">
      <c r="A5" s="26"/>
      <c r="B5" s="5" t="s">
        <v>14</v>
      </c>
      <c r="C5" s="3">
        <f>3143715+3494757</f>
        <v>6638472</v>
      </c>
      <c r="D5" s="3">
        <v>6218266</v>
      </c>
      <c r="E5" s="3">
        <v>6091784</v>
      </c>
      <c r="F5" s="3">
        <v>4304509.9600000083</v>
      </c>
      <c r="G5" s="3">
        <v>4506693.5599999949</v>
      </c>
      <c r="H5" s="3">
        <f>939665+2961969</f>
        <v>3901634</v>
      </c>
      <c r="I5" s="3">
        <v>4143421.5600000024</v>
      </c>
      <c r="J5" s="3">
        <v>4043815.5600000024</v>
      </c>
      <c r="K5" s="3">
        <f>865424+3121876</f>
        <v>3987300</v>
      </c>
      <c r="L5" s="3">
        <v>5364966.5600000024</v>
      </c>
      <c r="M5" s="3">
        <f>2479298+3363880</f>
        <v>5843178</v>
      </c>
      <c r="N5" s="3">
        <v>7124490.6400000006</v>
      </c>
      <c r="O5" s="23">
        <f>[19]Итог!$L$142+[20]я!$O$19</f>
        <v>4598313</v>
      </c>
      <c r="P5" s="12"/>
      <c r="Q5" s="12"/>
      <c r="R5" s="12"/>
    </row>
    <row r="6" spans="1:18" x14ac:dyDescent="0.25">
      <c r="A6" s="26"/>
      <c r="B6" s="5" t="s">
        <v>15</v>
      </c>
      <c r="C6" s="3">
        <f>362710+1142487</f>
        <v>1505197</v>
      </c>
      <c r="D6" s="3">
        <v>1097168</v>
      </c>
      <c r="E6" s="3">
        <v>907675</v>
      </c>
      <c r="F6" s="3">
        <v>676301</v>
      </c>
      <c r="G6" s="3">
        <v>539584</v>
      </c>
      <c r="H6" s="3">
        <f>42861+495322</f>
        <v>538183</v>
      </c>
      <c r="I6" s="3">
        <v>826950</v>
      </c>
      <c r="J6" s="3">
        <v>730881</v>
      </c>
      <c r="K6" s="3">
        <f>39095+513897</f>
        <v>552992</v>
      </c>
      <c r="L6" s="3">
        <v>612580</v>
      </c>
      <c r="M6" s="3">
        <f>145255+652269</f>
        <v>797524</v>
      </c>
      <c r="N6" s="3">
        <v>734666</v>
      </c>
      <c r="O6" s="23">
        <f>[19]Итог!$L$143+[20]я!$O$20</f>
        <v>384471</v>
      </c>
      <c r="P6" s="12"/>
      <c r="Q6" s="12"/>
      <c r="R6" s="12"/>
    </row>
    <row r="7" spans="1:18" x14ac:dyDescent="0.25">
      <c r="A7" s="26"/>
      <c r="B7" s="5" t="s">
        <v>16</v>
      </c>
      <c r="C7" s="3">
        <v>180344</v>
      </c>
      <c r="D7" s="3">
        <v>154116</v>
      </c>
      <c r="E7" s="3">
        <v>134168</v>
      </c>
      <c r="F7" s="3">
        <v>52877</v>
      </c>
      <c r="G7" s="3">
        <v>64744</v>
      </c>
      <c r="H7" s="3">
        <v>53269</v>
      </c>
      <c r="I7" s="3">
        <v>51850</v>
      </c>
      <c r="J7" s="3">
        <v>66401</v>
      </c>
      <c r="K7" s="3">
        <v>59680</v>
      </c>
      <c r="L7" s="3">
        <v>110524</v>
      </c>
      <c r="M7" s="3">
        <v>146068.00000000006</v>
      </c>
      <c r="N7" s="3">
        <v>168485.80000000002</v>
      </c>
      <c r="O7" s="23">
        <f>[20]я!$O$21</f>
        <v>58485</v>
      </c>
      <c r="P7" s="12"/>
      <c r="Q7" s="12"/>
      <c r="R7" s="12"/>
    </row>
    <row r="8" spans="1:18" x14ac:dyDescent="0.25">
      <c r="A8" s="26"/>
      <c r="B8" s="5" t="s">
        <v>17</v>
      </c>
      <c r="C8" s="3">
        <v>20739</v>
      </c>
      <c r="D8" s="3">
        <v>24878</v>
      </c>
      <c r="E8" s="3">
        <v>18191</v>
      </c>
      <c r="F8" s="3">
        <v>14096</v>
      </c>
      <c r="G8" s="3">
        <v>10501</v>
      </c>
      <c r="H8" s="3">
        <v>10339</v>
      </c>
      <c r="I8" s="3">
        <v>15128</v>
      </c>
      <c r="J8" s="3">
        <v>14442</v>
      </c>
      <c r="K8" s="3">
        <v>14112</v>
      </c>
      <c r="L8" s="3">
        <v>16572</v>
      </c>
      <c r="M8" s="3">
        <v>16984</v>
      </c>
      <c r="N8" s="3">
        <v>18272</v>
      </c>
      <c r="O8" s="23">
        <f>[20]я!$O$22</f>
        <v>16181</v>
      </c>
      <c r="P8" s="12"/>
      <c r="Q8" s="12"/>
      <c r="R8" s="12"/>
    </row>
    <row r="9" spans="1:18" x14ac:dyDescent="0.25">
      <c r="A9" s="26"/>
      <c r="B9" s="27" t="s">
        <v>21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9"/>
    </row>
    <row r="10" spans="1:18" x14ac:dyDescent="0.25">
      <c r="A10" s="26"/>
      <c r="B10" s="4"/>
      <c r="C10" s="3"/>
      <c r="D10" s="3"/>
      <c r="E10" s="3"/>
      <c r="F10" s="3">
        <v>520</v>
      </c>
      <c r="G10" s="3">
        <v>160</v>
      </c>
      <c r="H10" s="3">
        <v>80</v>
      </c>
      <c r="I10" s="3">
        <v>80</v>
      </c>
      <c r="J10" s="3">
        <v>1393</v>
      </c>
      <c r="K10" s="3">
        <v>1614</v>
      </c>
      <c r="L10" s="3">
        <v>1546</v>
      </c>
      <c r="M10" s="3">
        <v>1426</v>
      </c>
      <c r="N10" s="3">
        <v>2247</v>
      </c>
      <c r="P10" s="12"/>
    </row>
    <row r="11" spans="1:18" x14ac:dyDescent="0.25">
      <c r="A11" s="30" t="s">
        <v>18</v>
      </c>
      <c r="B11" s="31"/>
      <c r="C11" s="9">
        <f t="shared" ref="C11:N11" si="0">SUM(C5:C8,C10)</f>
        <v>8344752</v>
      </c>
      <c r="D11" s="9">
        <f t="shared" si="0"/>
        <v>7494428</v>
      </c>
      <c r="E11" s="9">
        <f t="shared" si="0"/>
        <v>7151818</v>
      </c>
      <c r="F11" s="9">
        <f t="shared" si="0"/>
        <v>5048303.9600000083</v>
      </c>
      <c r="G11" s="9">
        <f t="shared" si="0"/>
        <v>5121682.5599999949</v>
      </c>
      <c r="H11" s="9">
        <f>SUM(H5:H8,H10)</f>
        <v>4503505</v>
      </c>
      <c r="I11" s="9">
        <f>SUM(I5:I8,I10)</f>
        <v>5037429.5600000024</v>
      </c>
      <c r="J11" s="9">
        <f>SUM(J5:J8,J10)</f>
        <v>4856932.5600000024</v>
      </c>
      <c r="K11" s="9">
        <f>SUM(K5:K8,K10)</f>
        <v>4615698</v>
      </c>
      <c r="L11" s="9">
        <f t="shared" si="0"/>
        <v>6106188.5600000024</v>
      </c>
      <c r="M11" s="9">
        <f t="shared" si="0"/>
        <v>6805180</v>
      </c>
      <c r="N11" s="9">
        <f t="shared" si="0"/>
        <v>8048161.4400000004</v>
      </c>
    </row>
    <row r="12" spans="1:18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21"/>
    </row>
    <row r="13" spans="1:18" x14ac:dyDescent="0.25">
      <c r="D13" s="2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8" x14ac:dyDescent="0.25">
      <c r="E14" s="12"/>
      <c r="F14" s="12"/>
      <c r="G14" s="12"/>
      <c r="H14" s="12"/>
      <c r="I14" s="12"/>
      <c r="J14" s="12"/>
      <c r="K14" s="12"/>
      <c r="L14" s="12"/>
      <c r="M14" s="12"/>
    </row>
    <row r="15" spans="1:18" x14ac:dyDescent="0.25">
      <c r="C15" s="12"/>
      <c r="D15" s="12"/>
      <c r="K15" s="13"/>
    </row>
    <row r="17" spans="6:10" x14ac:dyDescent="0.25">
      <c r="F17" s="12"/>
    </row>
    <row r="18" spans="6:10" x14ac:dyDescent="0.25">
      <c r="J18" s="13"/>
    </row>
    <row r="20" spans="6:10" x14ac:dyDescent="0.25">
      <c r="F20" s="12"/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topLeftCell="A4" workbookViewId="0">
      <selection activeCell="A4" sqref="A1:XFD104857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4" t="s">
        <v>24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25" t="s">
        <v>22</v>
      </c>
      <c r="B4" s="27" t="s">
        <v>20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9"/>
    </row>
    <row r="5" spans="1:14" ht="22.5" customHeight="1" x14ac:dyDescent="0.25">
      <c r="A5" s="26"/>
      <c r="B5" s="5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26"/>
      <c r="B6" s="5" t="s">
        <v>14</v>
      </c>
      <c r="C6" s="3">
        <v>3818207</v>
      </c>
      <c r="D6" s="3">
        <v>3351172</v>
      </c>
      <c r="E6" s="3">
        <v>3533110</v>
      </c>
      <c r="F6" s="3">
        <v>2985573</v>
      </c>
      <c r="G6" s="3">
        <v>2880785</v>
      </c>
      <c r="H6" s="3">
        <v>2761586</v>
      </c>
      <c r="I6" s="3">
        <v>2811595</v>
      </c>
      <c r="J6" s="3">
        <v>2861601</v>
      </c>
      <c r="K6" s="3">
        <v>2549941</v>
      </c>
      <c r="L6" s="3">
        <v>2977112</v>
      </c>
      <c r="M6" s="3">
        <v>3237959</v>
      </c>
      <c r="N6" s="3">
        <v>3442837</v>
      </c>
    </row>
    <row r="7" spans="1:14" ht="22.5" customHeight="1" x14ac:dyDescent="0.25">
      <c r="A7" s="26"/>
      <c r="B7" s="5" t="s">
        <v>15</v>
      </c>
      <c r="C7" s="3">
        <v>411111</v>
      </c>
      <c r="D7" s="3">
        <v>280730</v>
      </c>
      <c r="E7" s="3">
        <v>158157</v>
      </c>
      <c r="F7" s="3">
        <v>234091</v>
      </c>
      <c r="G7" s="3">
        <v>298823</v>
      </c>
      <c r="H7" s="3">
        <v>315078</v>
      </c>
      <c r="I7" s="3">
        <v>384197</v>
      </c>
      <c r="J7" s="3">
        <v>396631</v>
      </c>
      <c r="K7" s="3">
        <v>465139</v>
      </c>
      <c r="L7" s="3">
        <v>474356</v>
      </c>
      <c r="M7" s="3">
        <v>553726</v>
      </c>
      <c r="N7" s="3">
        <v>556147</v>
      </c>
    </row>
    <row r="8" spans="1:14" ht="22.5" customHeight="1" x14ac:dyDescent="0.25">
      <c r="A8" s="26"/>
      <c r="B8" s="5" t="s">
        <v>16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2.5" customHeight="1" x14ac:dyDescent="0.25">
      <c r="A9" s="26"/>
      <c r="B9" s="5" t="s">
        <v>17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22.5" customHeight="1" x14ac:dyDescent="0.25">
      <c r="A10" s="26"/>
      <c r="B10" s="27" t="s">
        <v>21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9"/>
    </row>
    <row r="11" spans="1:14" ht="22.5" customHeight="1" x14ac:dyDescent="0.25">
      <c r="A11" s="26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22.5" customHeight="1" x14ac:dyDescent="0.25">
      <c r="A12" s="30" t="s">
        <v>18</v>
      </c>
      <c r="B12" s="31"/>
      <c r="C12" s="9">
        <f t="shared" ref="C12:N12" si="0">SUM(C5:C9,C11)</f>
        <v>4229318</v>
      </c>
      <c r="D12" s="9">
        <f t="shared" si="0"/>
        <v>3631902</v>
      </c>
      <c r="E12" s="9">
        <f t="shared" si="0"/>
        <v>3691267</v>
      </c>
      <c r="F12" s="9">
        <f t="shared" si="0"/>
        <v>3219664</v>
      </c>
      <c r="G12" s="9">
        <f t="shared" si="0"/>
        <v>3179608</v>
      </c>
      <c r="H12" s="9">
        <f t="shared" si="0"/>
        <v>3076664</v>
      </c>
      <c r="I12" s="9">
        <f t="shared" si="0"/>
        <v>3195792</v>
      </c>
      <c r="J12" s="9">
        <f t="shared" si="0"/>
        <v>3258232</v>
      </c>
      <c r="K12" s="9">
        <f t="shared" si="0"/>
        <v>3015080</v>
      </c>
      <c r="L12" s="9">
        <f t="shared" si="0"/>
        <v>3451468</v>
      </c>
      <c r="M12" s="9">
        <f t="shared" si="0"/>
        <v>3791685</v>
      </c>
      <c r="N12" s="9">
        <f t="shared" si="0"/>
        <v>3998984</v>
      </c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zoomScale="70" zoomScaleNormal="70" workbookViewId="0">
      <selection sqref="A1:N12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4" t="s">
        <v>25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25" t="s">
        <v>26</v>
      </c>
      <c r="B4" s="27" t="s">
        <v>20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9"/>
    </row>
    <row r="5" spans="1:14" ht="22.5" customHeight="1" x14ac:dyDescent="0.25">
      <c r="A5" s="26"/>
      <c r="B5" s="5" t="s">
        <v>14</v>
      </c>
      <c r="C5" s="3">
        <v>6904471</v>
      </c>
      <c r="D5" s="3">
        <v>5442354</v>
      </c>
      <c r="E5" s="3">
        <v>5372721</v>
      </c>
      <c r="F5" s="3">
        <v>3792070</v>
      </c>
      <c r="G5" s="3">
        <v>3138847</v>
      </c>
      <c r="H5" s="10">
        <v>3260229</v>
      </c>
      <c r="I5" s="3">
        <v>3366845</v>
      </c>
      <c r="J5" s="3">
        <v>3569312</v>
      </c>
      <c r="K5" s="3">
        <v>3569309</v>
      </c>
      <c r="L5" s="3">
        <v>4662070</v>
      </c>
      <c r="M5" s="3">
        <v>5353661</v>
      </c>
      <c r="N5" s="3">
        <v>6264979</v>
      </c>
    </row>
    <row r="6" spans="1:14" ht="22.5" customHeight="1" x14ac:dyDescent="0.25">
      <c r="A6" s="26"/>
      <c r="B6" s="5" t="s">
        <v>15</v>
      </c>
      <c r="C6" s="3">
        <v>953386</v>
      </c>
      <c r="D6" s="3">
        <v>917994</v>
      </c>
      <c r="E6" s="3">
        <v>804949</v>
      </c>
      <c r="F6" s="3">
        <v>608563</v>
      </c>
      <c r="G6" s="3">
        <v>666108</v>
      </c>
      <c r="H6" s="10">
        <v>533129</v>
      </c>
      <c r="I6" s="3">
        <v>472662</v>
      </c>
      <c r="J6" s="10">
        <v>457260</v>
      </c>
      <c r="K6" s="3">
        <v>529457</v>
      </c>
      <c r="L6" s="3">
        <v>602015</v>
      </c>
      <c r="M6" s="3">
        <v>701605.03500000341</v>
      </c>
      <c r="N6" s="3">
        <v>849517</v>
      </c>
    </row>
    <row r="7" spans="1:14" ht="22.5" customHeight="1" x14ac:dyDescent="0.25">
      <c r="A7" s="26"/>
      <c r="B7" s="5" t="s">
        <v>16</v>
      </c>
      <c r="C7" s="3">
        <v>418784</v>
      </c>
      <c r="D7" s="3">
        <v>454353</v>
      </c>
      <c r="E7" s="3">
        <v>403925</v>
      </c>
      <c r="F7" s="3">
        <v>287802</v>
      </c>
      <c r="G7" s="3">
        <v>181332</v>
      </c>
      <c r="H7" s="10">
        <v>190955</v>
      </c>
      <c r="I7" s="3">
        <v>127133</v>
      </c>
      <c r="J7" s="10">
        <v>172281</v>
      </c>
      <c r="K7" s="3">
        <v>177278</v>
      </c>
      <c r="L7" s="3">
        <v>333098</v>
      </c>
      <c r="M7" s="3">
        <v>426904</v>
      </c>
      <c r="N7" s="3">
        <v>488569</v>
      </c>
    </row>
    <row r="8" spans="1:14" ht="22.5" customHeight="1" x14ac:dyDescent="0.25">
      <c r="A8" s="26"/>
      <c r="B8" s="5" t="s">
        <v>17</v>
      </c>
      <c r="C8" s="3">
        <v>110825</v>
      </c>
      <c r="D8" s="3">
        <v>44561</v>
      </c>
      <c r="E8" s="3">
        <v>43628</v>
      </c>
      <c r="F8" s="3">
        <v>43930</v>
      </c>
      <c r="G8" s="3">
        <v>41682</v>
      </c>
      <c r="H8" s="10">
        <v>43341</v>
      </c>
      <c r="I8" s="3">
        <v>40084</v>
      </c>
      <c r="J8" s="10">
        <v>33116</v>
      </c>
      <c r="K8" s="3">
        <v>25877</v>
      </c>
      <c r="L8" s="3">
        <v>27722</v>
      </c>
      <c r="M8" s="3">
        <v>31062</v>
      </c>
      <c r="N8" s="3">
        <v>36109</v>
      </c>
    </row>
    <row r="9" spans="1:14" ht="22.5" customHeight="1" x14ac:dyDescent="0.25">
      <c r="A9" s="26"/>
      <c r="B9" s="27" t="s">
        <v>21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9"/>
    </row>
    <row r="10" spans="1:14" ht="22.5" customHeight="1" x14ac:dyDescent="0.25">
      <c r="A10" s="26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22.5" customHeight="1" x14ac:dyDescent="0.25">
      <c r="A11" s="30" t="s">
        <v>18</v>
      </c>
      <c r="B11" s="31"/>
      <c r="C11" s="9">
        <f t="shared" ref="C11:N11" si="0">SUM(C5:C8,C10)</f>
        <v>8387466</v>
      </c>
      <c r="D11" s="9">
        <f t="shared" si="0"/>
        <v>6859262</v>
      </c>
      <c r="E11" s="9">
        <f t="shared" si="0"/>
        <v>6625223</v>
      </c>
      <c r="F11" s="9">
        <f t="shared" si="0"/>
        <v>4732365</v>
      </c>
      <c r="G11" s="9">
        <f t="shared" si="0"/>
        <v>4027969</v>
      </c>
      <c r="H11" s="9">
        <f>SUM(H5:H8,H10)</f>
        <v>4027654</v>
      </c>
      <c r="I11" s="9">
        <f t="shared" si="0"/>
        <v>4006724</v>
      </c>
      <c r="J11" s="9">
        <f t="shared" si="0"/>
        <v>4231969</v>
      </c>
      <c r="K11" s="9">
        <f t="shared" si="0"/>
        <v>4301921</v>
      </c>
      <c r="L11" s="9">
        <f t="shared" si="0"/>
        <v>5624905</v>
      </c>
      <c r="M11" s="9">
        <f t="shared" si="0"/>
        <v>6513232.0350000039</v>
      </c>
      <c r="N11" s="9">
        <f t="shared" si="0"/>
        <v>7639174</v>
      </c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="80" zoomScaleNormal="80" workbookViewId="0">
      <selection activeCell="H33" sqref="H33"/>
    </sheetView>
  </sheetViews>
  <sheetFormatPr defaultRowHeight="15" x14ac:dyDescent="0.25"/>
  <cols>
    <col min="1" max="1" width="16.85546875" customWidth="1"/>
    <col min="2" max="2" width="19" customWidth="1"/>
    <col min="3" max="3" width="21.42578125" customWidth="1"/>
    <col min="4" max="4" width="20.42578125" customWidth="1"/>
    <col min="5" max="5" width="17.28515625" customWidth="1"/>
    <col min="6" max="6" width="19.140625" customWidth="1"/>
    <col min="7" max="7" width="19.7109375" customWidth="1"/>
    <col min="8" max="8" width="21.85546875" customWidth="1"/>
    <col min="9" max="9" width="21.5703125" customWidth="1"/>
    <col min="10" max="10" width="20.85546875" customWidth="1"/>
    <col min="11" max="11" width="22.85546875" customWidth="1"/>
    <col min="12" max="12" width="20.7109375" customWidth="1"/>
    <col min="13" max="13" width="18.5703125" customWidth="1"/>
    <col min="14" max="14" width="18.285156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4" t="s">
        <v>27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28.5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x14ac:dyDescent="0.25">
      <c r="A4" s="25" t="s">
        <v>26</v>
      </c>
      <c r="B4" s="27" t="s">
        <v>20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9"/>
    </row>
    <row r="5" spans="1:14" x14ac:dyDescent="0.25">
      <c r="A5" s="26"/>
      <c r="B5" s="5" t="s">
        <v>14</v>
      </c>
      <c r="C5" s="3">
        <v>5973276</v>
      </c>
      <c r="D5" s="3">
        <v>5417409</v>
      </c>
      <c r="E5" s="3">
        <v>4867290</v>
      </c>
      <c r="F5" s="3">
        <v>3974216</v>
      </c>
      <c r="G5" s="3">
        <v>3346617</v>
      </c>
      <c r="H5" s="10">
        <v>3039829</v>
      </c>
      <c r="I5" s="3">
        <v>3309162</v>
      </c>
      <c r="J5" s="3">
        <v>3593271</v>
      </c>
      <c r="K5" s="3">
        <f>2550530+1030515</f>
        <v>3581045</v>
      </c>
      <c r="L5" s="3">
        <v>4785000</v>
      </c>
      <c r="M5" s="3">
        <v>5719431</v>
      </c>
      <c r="N5" s="3">
        <f>3561833+2701333</f>
        <v>6263166</v>
      </c>
    </row>
    <row r="6" spans="1:14" x14ac:dyDescent="0.25">
      <c r="A6" s="26"/>
      <c r="B6" s="5" t="s">
        <v>15</v>
      </c>
      <c r="C6" s="3">
        <v>1011811</v>
      </c>
      <c r="D6" s="3">
        <v>850785</v>
      </c>
      <c r="E6" s="3">
        <v>689404.97999999556</v>
      </c>
      <c r="F6" s="3">
        <v>562811.65000000235</v>
      </c>
      <c r="G6" s="3">
        <v>566986</v>
      </c>
      <c r="H6" s="10">
        <v>510775</v>
      </c>
      <c r="I6" s="3">
        <v>449324</v>
      </c>
      <c r="J6" s="10">
        <v>394148</v>
      </c>
      <c r="K6" s="10">
        <f>336320+65797</f>
        <v>402117</v>
      </c>
      <c r="L6" s="3">
        <v>577211</v>
      </c>
      <c r="M6" s="3">
        <v>550392</v>
      </c>
      <c r="N6" s="3">
        <f>405425+278242</f>
        <v>683667</v>
      </c>
    </row>
    <row r="7" spans="1:14" x14ac:dyDescent="0.25">
      <c r="A7" s="26"/>
      <c r="B7" s="5" t="s">
        <v>16</v>
      </c>
      <c r="C7" s="3">
        <v>534797</v>
      </c>
      <c r="D7" s="3">
        <v>439125</v>
      </c>
      <c r="E7" s="3">
        <v>395341</v>
      </c>
      <c r="F7" s="3">
        <v>349165</v>
      </c>
      <c r="G7" s="3">
        <v>167595</v>
      </c>
      <c r="H7" s="10">
        <v>164754</v>
      </c>
      <c r="I7" s="3">
        <v>161887</v>
      </c>
      <c r="J7" s="10">
        <v>95017</v>
      </c>
      <c r="K7" s="10">
        <v>156734</v>
      </c>
      <c r="L7" s="3">
        <v>284684</v>
      </c>
      <c r="M7" s="3">
        <v>387335</v>
      </c>
      <c r="N7" s="3">
        <v>424887</v>
      </c>
    </row>
    <row r="8" spans="1:14" x14ac:dyDescent="0.25">
      <c r="A8" s="26"/>
      <c r="B8" s="5" t="s">
        <v>17</v>
      </c>
      <c r="C8" s="3">
        <v>33584</v>
      </c>
      <c r="D8" s="3">
        <v>35512</v>
      </c>
      <c r="E8" s="3">
        <v>26094</v>
      </c>
      <c r="F8" s="3">
        <v>24804</v>
      </c>
      <c r="G8" s="3">
        <v>23109</v>
      </c>
      <c r="H8" s="10">
        <v>27282</v>
      </c>
      <c r="I8" s="3">
        <v>27194</v>
      </c>
      <c r="J8" s="10">
        <v>26866</v>
      </c>
      <c r="K8" s="10">
        <v>24334</v>
      </c>
      <c r="L8" s="3">
        <v>28181</v>
      </c>
      <c r="M8" s="3">
        <v>31050</v>
      </c>
      <c r="N8" s="3">
        <v>33774</v>
      </c>
    </row>
    <row r="9" spans="1:14" x14ac:dyDescent="0.25">
      <c r="A9" s="26"/>
      <c r="B9" s="27" t="s">
        <v>21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9"/>
    </row>
    <row r="10" spans="1:14" x14ac:dyDescent="0.25">
      <c r="A10" s="26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x14ac:dyDescent="0.25">
      <c r="A11" s="30" t="s">
        <v>18</v>
      </c>
      <c r="B11" s="31"/>
      <c r="C11" s="9">
        <f t="shared" ref="C11:N11" si="0">SUM(C5:C8,C10)</f>
        <v>7553468</v>
      </c>
      <c r="D11" s="9">
        <f t="shared" si="0"/>
        <v>6742831</v>
      </c>
      <c r="E11" s="9">
        <f t="shared" si="0"/>
        <v>5978129.9799999958</v>
      </c>
      <c r="F11" s="9">
        <f t="shared" si="0"/>
        <v>4910996.6500000022</v>
      </c>
      <c r="G11" s="9">
        <f t="shared" ref="G11" si="1">SUM(G5:G8,G10)</f>
        <v>4104307</v>
      </c>
      <c r="H11" s="9">
        <f>SUM(H5:H8,H10)</f>
        <v>3742640</v>
      </c>
      <c r="I11" s="9">
        <f>SUM(I5:I8,I10)</f>
        <v>3947567</v>
      </c>
      <c r="J11" s="9">
        <f>SUM(J5:J8,J10)</f>
        <v>4109302</v>
      </c>
      <c r="K11" s="9">
        <f>SUM(K5:K8,K10)</f>
        <v>4164230</v>
      </c>
      <c r="L11" s="9">
        <f t="shared" si="0"/>
        <v>5675076</v>
      </c>
      <c r="M11" s="9">
        <f t="shared" si="0"/>
        <v>6688208</v>
      </c>
      <c r="N11" s="9">
        <f t="shared" si="0"/>
        <v>7405494</v>
      </c>
    </row>
    <row r="12" spans="1:1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opLeftCell="C1" zoomScale="80" zoomScaleNormal="80" workbookViewId="0">
      <selection activeCell="F36" sqref="F36"/>
    </sheetView>
  </sheetViews>
  <sheetFormatPr defaultRowHeight="15" x14ac:dyDescent="0.25"/>
  <cols>
    <col min="1" max="1" width="16.85546875" customWidth="1"/>
    <col min="2" max="2" width="19" customWidth="1"/>
    <col min="3" max="3" width="21.42578125" customWidth="1"/>
    <col min="4" max="4" width="20.42578125" customWidth="1"/>
    <col min="5" max="5" width="17.28515625" customWidth="1"/>
    <col min="6" max="6" width="19.140625" customWidth="1"/>
    <col min="7" max="7" width="19.7109375" customWidth="1"/>
    <col min="8" max="8" width="21.85546875" customWidth="1"/>
    <col min="9" max="9" width="21.5703125" customWidth="1"/>
    <col min="10" max="10" width="20.85546875" customWidth="1"/>
    <col min="11" max="11" width="22.85546875" customWidth="1"/>
    <col min="12" max="12" width="20.7109375" customWidth="1"/>
    <col min="13" max="13" width="18.5703125" customWidth="1"/>
    <col min="14" max="14" width="18.28515625" customWidth="1"/>
    <col min="15" max="15" width="13.42578125" customWidth="1"/>
    <col min="16" max="16" width="11" customWidth="1"/>
    <col min="17" max="17" width="12.1406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7" x14ac:dyDescent="0.25">
      <c r="A2" s="24" t="s">
        <v>28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7" ht="28.5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7" x14ac:dyDescent="0.25">
      <c r="A4" s="25" t="s">
        <v>26</v>
      </c>
      <c r="B4" s="27" t="s">
        <v>20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9"/>
    </row>
    <row r="5" spans="1:17" x14ac:dyDescent="0.25">
      <c r="A5" s="26"/>
      <c r="B5" s="5" t="s">
        <v>14</v>
      </c>
      <c r="C5" s="3">
        <v>6193058</v>
      </c>
      <c r="D5" s="3">
        <v>5838689</v>
      </c>
      <c r="E5" s="3">
        <v>6628097</v>
      </c>
      <c r="F5" s="3">
        <f>2649765+1660212</f>
        <v>4309977</v>
      </c>
      <c r="G5" s="3">
        <v>3543531</v>
      </c>
      <c r="H5" s="3">
        <v>3562454</v>
      </c>
      <c r="I5" s="3">
        <v>3794508</v>
      </c>
      <c r="J5" s="3">
        <v>4066660</v>
      </c>
      <c r="K5" s="3">
        <v>4009034</v>
      </c>
      <c r="L5" s="3">
        <v>4901599</v>
      </c>
      <c r="M5" s="3">
        <v>6178115</v>
      </c>
      <c r="N5" s="3">
        <v>7168997</v>
      </c>
      <c r="O5" s="11"/>
      <c r="Q5" s="12"/>
    </row>
    <row r="6" spans="1:17" x14ac:dyDescent="0.25">
      <c r="A6" s="26"/>
      <c r="B6" s="5" t="s">
        <v>15</v>
      </c>
      <c r="C6" s="3">
        <v>690885</v>
      </c>
      <c r="D6" s="3">
        <v>817680</v>
      </c>
      <c r="E6" s="3">
        <v>880624.77999999933</v>
      </c>
      <c r="F6" s="3">
        <f>390204+126405</f>
        <v>516609</v>
      </c>
      <c r="G6" s="3">
        <v>510547</v>
      </c>
      <c r="H6" s="3">
        <v>495255</v>
      </c>
      <c r="I6" s="3">
        <v>570845</v>
      </c>
      <c r="J6" s="3">
        <v>541456</v>
      </c>
      <c r="K6" s="3">
        <v>418518</v>
      </c>
      <c r="L6" s="3">
        <v>483781</v>
      </c>
      <c r="M6" s="3">
        <v>619889</v>
      </c>
      <c r="N6" s="3">
        <v>759482</v>
      </c>
      <c r="O6" s="11"/>
      <c r="Q6" s="12"/>
    </row>
    <row r="7" spans="1:17" x14ac:dyDescent="0.25">
      <c r="A7" s="26"/>
      <c r="B7" s="5" t="s">
        <v>16</v>
      </c>
      <c r="C7" s="3">
        <v>459750</v>
      </c>
      <c r="D7" s="3">
        <v>437938</v>
      </c>
      <c r="E7" s="3">
        <v>491973</v>
      </c>
      <c r="F7" s="3">
        <v>310587</v>
      </c>
      <c r="G7" s="3">
        <v>151841</v>
      </c>
      <c r="H7" s="3">
        <v>163421</v>
      </c>
      <c r="I7" s="3">
        <v>175897</v>
      </c>
      <c r="J7" s="3">
        <v>87176</v>
      </c>
      <c r="K7" s="3">
        <v>152596</v>
      </c>
      <c r="L7" s="3">
        <v>283663</v>
      </c>
      <c r="M7" s="3">
        <v>350454</v>
      </c>
      <c r="N7" s="3">
        <v>494715</v>
      </c>
      <c r="Q7" s="12"/>
    </row>
    <row r="8" spans="1:17" x14ac:dyDescent="0.25">
      <c r="A8" s="26"/>
      <c r="B8" s="5" t="s">
        <v>17</v>
      </c>
      <c r="C8" s="3">
        <v>43216</v>
      </c>
      <c r="D8" s="3">
        <v>35474</v>
      </c>
      <c r="E8" s="3">
        <v>36006</v>
      </c>
      <c r="F8" s="3">
        <v>27220</v>
      </c>
      <c r="G8" s="3">
        <v>23506</v>
      </c>
      <c r="H8" s="3">
        <v>24033</v>
      </c>
      <c r="I8" s="3">
        <v>26786</v>
      </c>
      <c r="J8" s="3">
        <v>30753</v>
      </c>
      <c r="K8" s="3">
        <v>20672</v>
      </c>
      <c r="L8" s="3">
        <v>24749</v>
      </c>
      <c r="M8" s="3">
        <v>32263</v>
      </c>
      <c r="N8" s="3">
        <v>33101</v>
      </c>
      <c r="Q8" s="12"/>
    </row>
    <row r="9" spans="1:17" x14ac:dyDescent="0.25">
      <c r="A9" s="26"/>
      <c r="B9" s="27" t="s">
        <v>21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9"/>
    </row>
    <row r="10" spans="1:17" x14ac:dyDescent="0.25">
      <c r="A10" s="26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7" x14ac:dyDescent="0.25">
      <c r="A11" s="30" t="s">
        <v>18</v>
      </c>
      <c r="B11" s="31"/>
      <c r="C11" s="9">
        <f t="shared" ref="C11:N11" si="0">SUM(C5:C8,C10)</f>
        <v>7386909</v>
      </c>
      <c r="D11" s="9">
        <f t="shared" si="0"/>
        <v>7129781</v>
      </c>
      <c r="E11" s="9">
        <f t="shared" si="0"/>
        <v>8036700.7799999993</v>
      </c>
      <c r="F11" s="9">
        <f t="shared" si="0"/>
        <v>5164393</v>
      </c>
      <c r="G11" s="9">
        <f t="shared" si="0"/>
        <v>4229425</v>
      </c>
      <c r="H11" s="9">
        <f>SUM(H5:H8,H10)</f>
        <v>4245163</v>
      </c>
      <c r="I11" s="9">
        <f>SUM(I5:I8,I10)</f>
        <v>4568036</v>
      </c>
      <c r="J11" s="9">
        <f>SUM(J5:J8,J10)</f>
        <v>4726045</v>
      </c>
      <c r="K11" s="9">
        <f>SUM(K5:K8,K10)</f>
        <v>4600820</v>
      </c>
      <c r="L11" s="9">
        <f t="shared" si="0"/>
        <v>5693792</v>
      </c>
      <c r="M11" s="9">
        <f t="shared" si="0"/>
        <v>7180721</v>
      </c>
      <c r="N11" s="9">
        <f t="shared" si="0"/>
        <v>8456295</v>
      </c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zoomScale="55" zoomScaleNormal="55" workbookViewId="0">
      <selection activeCell="F36" sqref="F36"/>
    </sheetView>
  </sheetViews>
  <sheetFormatPr defaultRowHeight="15" x14ac:dyDescent="0.25"/>
  <cols>
    <col min="1" max="1" width="16.85546875" customWidth="1"/>
    <col min="2" max="2" width="19" customWidth="1"/>
    <col min="3" max="3" width="21.42578125" customWidth="1"/>
    <col min="4" max="4" width="20.42578125" customWidth="1"/>
    <col min="5" max="5" width="17.28515625" customWidth="1"/>
    <col min="6" max="6" width="19.140625" customWidth="1"/>
    <col min="7" max="7" width="19.7109375" customWidth="1"/>
    <col min="8" max="8" width="21.85546875" customWidth="1"/>
    <col min="9" max="9" width="21.5703125" customWidth="1"/>
    <col min="10" max="10" width="20.85546875" customWidth="1"/>
    <col min="11" max="11" width="22.85546875" customWidth="1"/>
    <col min="12" max="12" width="20.7109375" customWidth="1"/>
    <col min="13" max="13" width="18.5703125" customWidth="1"/>
    <col min="14" max="14" width="18.28515625" customWidth="1"/>
    <col min="15" max="15" width="13.42578125" style="15" customWidth="1"/>
    <col min="16" max="16" width="11" customWidth="1"/>
    <col min="17" max="17" width="12.140625" style="1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7" x14ac:dyDescent="0.25">
      <c r="A2" s="24" t="s">
        <v>29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7" ht="28.5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7" x14ac:dyDescent="0.25">
      <c r="A4" s="25" t="s">
        <v>26</v>
      </c>
      <c r="B4" s="27" t="s">
        <v>20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9"/>
    </row>
    <row r="5" spans="1:17" x14ac:dyDescent="0.25">
      <c r="A5" s="26"/>
      <c r="B5" s="5" t="s">
        <v>14</v>
      </c>
      <c r="C5" s="3">
        <v>6983396</v>
      </c>
      <c r="D5" s="3">
        <v>5790519</v>
      </c>
      <c r="E5" s="3">
        <v>5562809</v>
      </c>
      <c r="F5" s="3">
        <v>4003743</v>
      </c>
      <c r="G5" s="3">
        <v>3231536</v>
      </c>
      <c r="H5" s="3">
        <v>3061128</v>
      </c>
      <c r="I5" s="3">
        <v>3269100</v>
      </c>
      <c r="J5" s="3">
        <f>2713380+91541+834641+72310</f>
        <v>3711872</v>
      </c>
      <c r="K5" s="3">
        <v>3894160</v>
      </c>
      <c r="L5" s="3">
        <v>4583090</v>
      </c>
      <c r="M5" s="3">
        <v>5392794</v>
      </c>
      <c r="N5" s="3">
        <v>6091292</v>
      </c>
      <c r="O5" s="16">
        <f>N5/M5</f>
        <v>1.1295243244967266</v>
      </c>
      <c r="Q5" s="14">
        <f>AVERAGE(C5:N5)</f>
        <v>4631286.583333333</v>
      </c>
    </row>
    <row r="6" spans="1:17" x14ac:dyDescent="0.25">
      <c r="A6" s="26"/>
      <c r="B6" s="5" t="s">
        <v>15</v>
      </c>
      <c r="C6" s="3">
        <v>859252</v>
      </c>
      <c r="D6" s="3">
        <v>706444</v>
      </c>
      <c r="E6" s="3">
        <v>598290</v>
      </c>
      <c r="F6" s="3">
        <v>445318</v>
      </c>
      <c r="G6" s="3">
        <v>374436</v>
      </c>
      <c r="H6" s="3">
        <v>350332</v>
      </c>
      <c r="I6" s="3">
        <v>386516</v>
      </c>
      <c r="J6" s="3">
        <f>279624+41583</f>
        <v>321207</v>
      </c>
      <c r="K6" s="3">
        <v>342405</v>
      </c>
      <c r="L6" s="3">
        <v>411847</v>
      </c>
      <c r="M6" s="3">
        <v>544749</v>
      </c>
      <c r="N6" s="3">
        <v>635665</v>
      </c>
      <c r="O6" s="16">
        <f t="shared" ref="O6:O8" si="0">N6/M6</f>
        <v>1.166895212290431</v>
      </c>
      <c r="Q6" s="14">
        <f t="shared" ref="Q6:Q8" si="1">AVERAGE(C6:N6)</f>
        <v>498038.41666666669</v>
      </c>
    </row>
    <row r="7" spans="1:17" x14ac:dyDescent="0.25">
      <c r="A7" s="26"/>
      <c r="B7" s="5" t="s">
        <v>16</v>
      </c>
      <c r="C7" s="3">
        <v>196978</v>
      </c>
      <c r="D7" s="3">
        <v>163380</v>
      </c>
      <c r="E7" s="3">
        <v>151221</v>
      </c>
      <c r="F7" s="3">
        <v>99890</v>
      </c>
      <c r="G7" s="3">
        <v>60723</v>
      </c>
      <c r="H7" s="3">
        <v>57053</v>
      </c>
      <c r="I7" s="3">
        <v>63471</v>
      </c>
      <c r="J7" s="3">
        <v>59208</v>
      </c>
      <c r="K7" s="3">
        <v>68138</v>
      </c>
      <c r="L7" s="3">
        <v>109854</v>
      </c>
      <c r="M7" s="3">
        <v>149110</v>
      </c>
      <c r="N7" s="3">
        <v>160740</v>
      </c>
      <c r="O7" s="16">
        <f t="shared" si="0"/>
        <v>1.0779961102541749</v>
      </c>
      <c r="Q7" s="14">
        <f t="shared" si="1"/>
        <v>111647.16666666667</v>
      </c>
    </row>
    <row r="8" spans="1:17" x14ac:dyDescent="0.25">
      <c r="A8" s="26"/>
      <c r="B8" s="5" t="s">
        <v>17</v>
      </c>
      <c r="C8" s="3">
        <v>41038</v>
      </c>
      <c r="D8" s="3">
        <v>31792</v>
      </c>
      <c r="E8" s="3">
        <v>32675</v>
      </c>
      <c r="F8" s="3">
        <v>31011</v>
      </c>
      <c r="G8" s="3">
        <v>26753</v>
      </c>
      <c r="H8" s="3">
        <v>26785</v>
      </c>
      <c r="I8" s="3">
        <v>22212</v>
      </c>
      <c r="J8" s="3">
        <v>26447</v>
      </c>
      <c r="K8" s="3">
        <v>24985</v>
      </c>
      <c r="L8" s="3">
        <v>17180</v>
      </c>
      <c r="M8" s="3">
        <v>16964</v>
      </c>
      <c r="N8" s="3">
        <v>20423</v>
      </c>
      <c r="O8" s="16">
        <f t="shared" si="0"/>
        <v>1.2039023815137939</v>
      </c>
      <c r="Q8" s="14">
        <f t="shared" si="1"/>
        <v>26522.083333333332</v>
      </c>
    </row>
    <row r="9" spans="1:17" x14ac:dyDescent="0.25">
      <c r="A9" s="26"/>
      <c r="B9" s="27" t="s">
        <v>21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9"/>
      <c r="O9" s="17"/>
    </row>
    <row r="10" spans="1:17" x14ac:dyDescent="0.25">
      <c r="A10" s="26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7"/>
    </row>
    <row r="11" spans="1:17" x14ac:dyDescent="0.25">
      <c r="A11" s="30" t="s">
        <v>18</v>
      </c>
      <c r="B11" s="31"/>
      <c r="C11" s="9">
        <f t="shared" ref="C11:N11" si="2">SUM(C5:C8,C10)</f>
        <v>8080664</v>
      </c>
      <c r="D11" s="9">
        <f t="shared" si="2"/>
        <v>6692135</v>
      </c>
      <c r="E11" s="9">
        <f t="shared" si="2"/>
        <v>6344995</v>
      </c>
      <c r="F11" s="9">
        <f t="shared" si="2"/>
        <v>4579962</v>
      </c>
      <c r="G11" s="9">
        <f t="shared" si="2"/>
        <v>3693448</v>
      </c>
      <c r="H11" s="9">
        <f>SUM(H5:H8,H10)</f>
        <v>3495298</v>
      </c>
      <c r="I11" s="9">
        <f>SUM(I5:I8,I10)</f>
        <v>3741299</v>
      </c>
      <c r="J11" s="9">
        <f>SUM(J5:J8,J10)</f>
        <v>4118734</v>
      </c>
      <c r="K11" s="9">
        <f>SUM(K5:K8,K10)</f>
        <v>4329688</v>
      </c>
      <c r="L11" s="9">
        <f t="shared" si="2"/>
        <v>5121971</v>
      </c>
      <c r="M11" s="9">
        <f t="shared" si="2"/>
        <v>6103617</v>
      </c>
      <c r="N11" s="9">
        <f t="shared" si="2"/>
        <v>6908120</v>
      </c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4" spans="1:17" x14ac:dyDescent="0.25">
      <c r="J14" s="13"/>
      <c r="K14" s="13"/>
    </row>
    <row r="15" spans="1:17" x14ac:dyDescent="0.25">
      <c r="K15" s="13"/>
    </row>
    <row r="17" spans="6:10" x14ac:dyDescent="0.25">
      <c r="F17" s="12"/>
    </row>
    <row r="18" spans="6:10" x14ac:dyDescent="0.25">
      <c r="J18" s="13"/>
    </row>
    <row r="20" spans="6:10" x14ac:dyDescent="0.25">
      <c r="F20" s="12"/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topLeftCell="B1" zoomScale="80" zoomScaleNormal="80" workbookViewId="0">
      <selection activeCell="W5" sqref="W5:W8"/>
    </sheetView>
  </sheetViews>
  <sheetFormatPr defaultRowHeight="15" x14ac:dyDescent="0.25"/>
  <cols>
    <col min="1" max="1" width="16.85546875" customWidth="1"/>
    <col min="2" max="2" width="19" customWidth="1"/>
    <col min="3" max="3" width="21.42578125" customWidth="1"/>
    <col min="4" max="4" width="20.42578125" customWidth="1"/>
    <col min="5" max="5" width="17.28515625" customWidth="1"/>
    <col min="6" max="6" width="19.140625" customWidth="1"/>
    <col min="7" max="7" width="19.140625" hidden="1" customWidth="1"/>
    <col min="8" max="8" width="19.7109375" customWidth="1"/>
    <col min="9" max="9" width="19.7109375" hidden="1" customWidth="1"/>
    <col min="10" max="10" width="21.85546875" customWidth="1"/>
    <col min="11" max="11" width="21.85546875" hidden="1" customWidth="1"/>
    <col min="12" max="12" width="21.5703125" customWidth="1"/>
    <col min="13" max="13" width="21.5703125" hidden="1" customWidth="1"/>
    <col min="14" max="14" width="20.85546875" customWidth="1"/>
    <col min="15" max="15" width="20.85546875" hidden="1" customWidth="1"/>
    <col min="16" max="16" width="22.85546875" customWidth="1"/>
    <col min="17" max="17" width="22.85546875" hidden="1" customWidth="1"/>
    <col min="18" max="18" width="20.7109375" customWidth="1"/>
    <col min="19" max="19" width="20.7109375" hidden="1" customWidth="1"/>
    <col min="20" max="20" width="18.5703125" customWidth="1"/>
    <col min="21" max="21" width="18.5703125" hidden="1" customWidth="1"/>
    <col min="22" max="22" width="18.28515625" customWidth="1"/>
    <col min="23" max="23" width="13.42578125" style="18" customWidth="1"/>
    <col min="24" max="24" width="11" customWidth="1"/>
    <col min="25" max="25" width="12.140625" customWidth="1"/>
  </cols>
  <sheetData>
    <row r="1" spans="1:2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5" x14ac:dyDescent="0.25">
      <c r="A2" s="24" t="s">
        <v>30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spans="1:25" ht="28.5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/>
      <c r="H3" s="8" t="s">
        <v>6</v>
      </c>
      <c r="I3" s="8"/>
      <c r="J3" s="8" t="s">
        <v>7</v>
      </c>
      <c r="K3" s="8"/>
      <c r="L3" s="8" t="s">
        <v>8</v>
      </c>
      <c r="M3" s="8"/>
      <c r="N3" s="8" t="s">
        <v>9</v>
      </c>
      <c r="O3" s="8"/>
      <c r="P3" s="8" t="s">
        <v>10</v>
      </c>
      <c r="Q3" s="8"/>
      <c r="R3" s="8" t="s">
        <v>11</v>
      </c>
      <c r="S3" s="8"/>
      <c r="T3" s="8" t="s">
        <v>12</v>
      </c>
      <c r="U3" s="8"/>
      <c r="V3" s="8" t="s">
        <v>13</v>
      </c>
    </row>
    <row r="4" spans="1:25" x14ac:dyDescent="0.25">
      <c r="A4" s="25" t="s">
        <v>31</v>
      </c>
      <c r="B4" s="27" t="s">
        <v>20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9"/>
    </row>
    <row r="5" spans="1:25" x14ac:dyDescent="0.25">
      <c r="A5" s="26"/>
      <c r="B5" s="5" t="s">
        <v>14</v>
      </c>
      <c r="C5" s="3">
        <v>6007407</v>
      </c>
      <c r="D5" s="3">
        <v>5613473</v>
      </c>
      <c r="E5" s="3">
        <v>5334824</v>
      </c>
      <c r="F5" s="3">
        <v>4926449</v>
      </c>
      <c r="G5" s="3">
        <v>0.80712872929156543</v>
      </c>
      <c r="H5" s="3">
        <v>3238256</v>
      </c>
      <c r="I5" s="3">
        <v>0.94726718192215709</v>
      </c>
      <c r="J5" s="3">
        <v>2595429</v>
      </c>
      <c r="K5" s="3">
        <v>1.0679396614581291</v>
      </c>
      <c r="L5" s="3">
        <v>3057252</v>
      </c>
      <c r="M5" s="3">
        <v>1.1354415588388242</v>
      </c>
      <c r="N5" s="3">
        <v>3486144</v>
      </c>
      <c r="O5" s="3">
        <v>1.0491094520500708</v>
      </c>
      <c r="P5" s="3">
        <v>3226842</v>
      </c>
      <c r="Q5" s="3">
        <v>1.1769136347761777</v>
      </c>
      <c r="R5" s="3">
        <v>3759275</v>
      </c>
      <c r="S5" s="3">
        <v>1.1766720705899294</v>
      </c>
      <c r="T5" s="3">
        <v>4826797.9999999851</v>
      </c>
      <c r="U5" s="3">
        <v>1.1295243244967266</v>
      </c>
      <c r="V5" s="3">
        <v>6038378.9999999851</v>
      </c>
      <c r="W5" s="16">
        <f>'2021'!C5/'2020'!V5</f>
        <v>0.93862011642528798</v>
      </c>
      <c r="Y5" s="12"/>
    </row>
    <row r="6" spans="1:25" x14ac:dyDescent="0.25">
      <c r="A6" s="26"/>
      <c r="B6" s="5" t="s">
        <v>15</v>
      </c>
      <c r="C6" s="3">
        <v>603051</v>
      </c>
      <c r="D6" s="3">
        <v>628545</v>
      </c>
      <c r="E6" s="3">
        <v>533905</v>
      </c>
      <c r="F6" s="3">
        <v>561039</v>
      </c>
      <c r="G6" s="3">
        <v>0.84082835187439087</v>
      </c>
      <c r="H6" s="3">
        <v>295720</v>
      </c>
      <c r="I6" s="3">
        <v>0.93562584794197134</v>
      </c>
      <c r="J6" s="3">
        <v>282107</v>
      </c>
      <c r="K6" s="3">
        <v>1.1032848840528413</v>
      </c>
      <c r="L6" s="3">
        <v>305160</v>
      </c>
      <c r="M6" s="3">
        <v>0.83103157437208286</v>
      </c>
      <c r="N6" s="3">
        <v>363883</v>
      </c>
      <c r="O6" s="3">
        <v>1.0659948257665617</v>
      </c>
      <c r="P6" s="3">
        <v>377977</v>
      </c>
      <c r="Q6" s="3">
        <v>1.2028066178940144</v>
      </c>
      <c r="R6" s="3">
        <v>399841</v>
      </c>
      <c r="S6" s="3">
        <v>1.3226975065983242</v>
      </c>
      <c r="T6" s="3">
        <v>506188</v>
      </c>
      <c r="U6" s="3">
        <v>1.166895212290431</v>
      </c>
      <c r="V6" s="3">
        <v>569595</v>
      </c>
      <c r="W6" s="16">
        <f>'2021'!C6/'2020'!V6</f>
        <v>1.0607080469456369</v>
      </c>
      <c r="Y6" s="12"/>
    </row>
    <row r="7" spans="1:25" x14ac:dyDescent="0.25">
      <c r="A7" s="26"/>
      <c r="B7" s="5" t="s">
        <v>16</v>
      </c>
      <c r="C7" s="3">
        <v>188600</v>
      </c>
      <c r="D7" s="3">
        <v>168474</v>
      </c>
      <c r="E7" s="3">
        <v>142474</v>
      </c>
      <c r="F7" s="3">
        <v>130509</v>
      </c>
      <c r="G7" s="3">
        <v>0.60789868855741314</v>
      </c>
      <c r="H7" s="3">
        <v>70133</v>
      </c>
      <c r="I7" s="3">
        <v>0.93956161586219389</v>
      </c>
      <c r="J7" s="3">
        <v>66810</v>
      </c>
      <c r="K7" s="3">
        <v>1.1124918935025327</v>
      </c>
      <c r="L7" s="3">
        <v>72403</v>
      </c>
      <c r="M7" s="3">
        <v>0.93283546816656426</v>
      </c>
      <c r="N7" s="3">
        <v>54529</v>
      </c>
      <c r="O7" s="3">
        <v>1.1508242129441968</v>
      </c>
      <c r="P7" s="3">
        <v>66885</v>
      </c>
      <c r="Q7" s="3">
        <v>1.6122281252751769</v>
      </c>
      <c r="R7" s="3">
        <v>95860</v>
      </c>
      <c r="S7" s="3">
        <v>1.3573470242321626</v>
      </c>
      <c r="T7" s="3">
        <v>141764</v>
      </c>
      <c r="U7" s="3">
        <v>1.0779961102541749</v>
      </c>
      <c r="V7" s="3">
        <v>168256</v>
      </c>
      <c r="W7" s="18">
        <f>'2021'!C7/'2020'!V7</f>
        <v>1.090504944845949</v>
      </c>
      <c r="Y7" s="12"/>
    </row>
    <row r="8" spans="1:25" x14ac:dyDescent="0.25">
      <c r="A8" s="26"/>
      <c r="B8" s="5" t="s">
        <v>17</v>
      </c>
      <c r="C8" s="3">
        <v>21937</v>
      </c>
      <c r="D8" s="3">
        <v>21220</v>
      </c>
      <c r="E8" s="3">
        <v>17947</v>
      </c>
      <c r="F8" s="3">
        <v>15786</v>
      </c>
      <c r="G8" s="3">
        <v>0.86269388281577508</v>
      </c>
      <c r="H8" s="3">
        <v>18110</v>
      </c>
      <c r="I8" s="3">
        <v>1.0011961275370986</v>
      </c>
      <c r="J8" s="3">
        <v>15110</v>
      </c>
      <c r="K8" s="3">
        <v>0.82927011386970317</v>
      </c>
      <c r="L8" s="3">
        <v>15855</v>
      </c>
      <c r="M8" s="3">
        <v>1.1906627048442284</v>
      </c>
      <c r="N8" s="3">
        <v>32100</v>
      </c>
      <c r="O8" s="3">
        <v>0.94471962793511555</v>
      </c>
      <c r="P8" s="3">
        <v>5446</v>
      </c>
      <c r="Q8" s="3">
        <v>0.68761256754052436</v>
      </c>
      <c r="R8" s="3">
        <v>16909</v>
      </c>
      <c r="S8" s="3">
        <v>0.98742724097788126</v>
      </c>
      <c r="T8" s="3">
        <v>19007</v>
      </c>
      <c r="U8" s="3">
        <v>1.2039023815137939</v>
      </c>
      <c r="V8" s="3">
        <v>16711</v>
      </c>
      <c r="W8" s="18">
        <f>'2021'!C8/'2020'!V8</f>
        <v>1.3928550056848783</v>
      </c>
      <c r="Y8" s="12"/>
    </row>
    <row r="9" spans="1:25" x14ac:dyDescent="0.25">
      <c r="A9" s="26"/>
      <c r="B9" s="27" t="s">
        <v>21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9"/>
    </row>
    <row r="10" spans="1:25" x14ac:dyDescent="0.25">
      <c r="A10" s="26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5" x14ac:dyDescent="0.25">
      <c r="A11" s="30" t="s">
        <v>18</v>
      </c>
      <c r="B11" s="31"/>
      <c r="C11" s="9">
        <f t="shared" ref="C11:V11" si="0">SUM(C5:C8,C10)</f>
        <v>6820995</v>
      </c>
      <c r="D11" s="9">
        <f t="shared" si="0"/>
        <v>6431712</v>
      </c>
      <c r="E11" s="9">
        <f t="shared" si="0"/>
        <v>6029150</v>
      </c>
      <c r="F11" s="9">
        <f t="shared" si="0"/>
        <v>5633783</v>
      </c>
      <c r="G11" s="9"/>
      <c r="H11" s="9">
        <f t="shared" si="0"/>
        <v>3622219</v>
      </c>
      <c r="I11" s="9"/>
      <c r="J11" s="9">
        <f>SUM(J5:J8,J10)</f>
        <v>2959456</v>
      </c>
      <c r="K11" s="9"/>
      <c r="L11" s="9">
        <f>SUM(L5:L8,L10)</f>
        <v>3450670</v>
      </c>
      <c r="M11" s="9"/>
      <c r="N11" s="9">
        <f>SUM(N5:N8,N10)</f>
        <v>3936656</v>
      </c>
      <c r="O11" s="9"/>
      <c r="P11" s="9">
        <f>SUM(P5:P8,P10)</f>
        <v>3677150</v>
      </c>
      <c r="Q11" s="9"/>
      <c r="R11" s="9">
        <f t="shared" si="0"/>
        <v>4271885</v>
      </c>
      <c r="S11" s="9"/>
      <c r="T11" s="9">
        <f t="shared" si="0"/>
        <v>5493756.9999999851</v>
      </c>
      <c r="U11" s="9"/>
      <c r="V11" s="9">
        <f t="shared" si="0"/>
        <v>6792940.9999999851</v>
      </c>
    </row>
    <row r="12" spans="1:2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4" spans="1:25" x14ac:dyDescent="0.25">
      <c r="N14" s="13"/>
      <c r="O14" s="13"/>
      <c r="P14" s="13"/>
      <c r="Q14" s="13"/>
    </row>
    <row r="15" spans="1:25" x14ac:dyDescent="0.25">
      <c r="P15" s="13"/>
      <c r="Q15" s="13"/>
    </row>
    <row r="17" spans="6:15" x14ac:dyDescent="0.25">
      <c r="F17" s="12"/>
      <c r="G17" s="12"/>
    </row>
    <row r="18" spans="6:15" x14ac:dyDescent="0.25">
      <c r="N18" s="13"/>
      <c r="O18" s="13"/>
    </row>
    <row r="20" spans="6:15" x14ac:dyDescent="0.25">
      <c r="F20" s="12"/>
      <c r="G20" s="12"/>
    </row>
  </sheetData>
  <mergeCells count="5">
    <mergeCell ref="A2:V2"/>
    <mergeCell ref="A4:A10"/>
    <mergeCell ref="B4:V4"/>
    <mergeCell ref="B9:V9"/>
    <mergeCell ref="A11:B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"/>
  <sheetViews>
    <sheetView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H5" sqref="AH5:AH8"/>
    </sheetView>
  </sheetViews>
  <sheetFormatPr defaultRowHeight="15" x14ac:dyDescent="0.25"/>
  <cols>
    <col min="1" max="1" width="16.85546875" customWidth="1"/>
    <col min="2" max="2" width="19" customWidth="1"/>
    <col min="3" max="3" width="21.42578125" customWidth="1"/>
    <col min="4" max="4" width="21.42578125" hidden="1" customWidth="1"/>
    <col min="5" max="5" width="20.42578125" customWidth="1"/>
    <col min="6" max="6" width="20.42578125" hidden="1" customWidth="1"/>
    <col min="7" max="7" width="17.28515625" customWidth="1"/>
    <col min="8" max="8" width="17.28515625" hidden="1" customWidth="1"/>
    <col min="9" max="9" width="19.140625" customWidth="1"/>
    <col min="10" max="11" width="19.140625" hidden="1" customWidth="1"/>
    <col min="12" max="12" width="19.7109375" customWidth="1"/>
    <col min="13" max="14" width="19.7109375" hidden="1" customWidth="1"/>
    <col min="15" max="15" width="21.85546875" customWidth="1"/>
    <col min="16" max="17" width="21.85546875" hidden="1" customWidth="1"/>
    <col min="18" max="18" width="21.5703125" customWidth="1"/>
    <col min="19" max="20" width="21.5703125" hidden="1" customWidth="1"/>
    <col min="21" max="21" width="20.85546875" customWidth="1"/>
    <col min="22" max="23" width="20.85546875" hidden="1" customWidth="1"/>
    <col min="24" max="24" width="22.85546875" customWidth="1"/>
    <col min="25" max="26" width="22.85546875" hidden="1" customWidth="1"/>
    <col min="27" max="27" width="20.7109375" customWidth="1"/>
    <col min="28" max="29" width="20.7109375" hidden="1" customWidth="1"/>
    <col min="30" max="30" width="18.5703125" customWidth="1"/>
    <col min="31" max="32" width="18.5703125" hidden="1" customWidth="1"/>
    <col min="33" max="33" width="18.28515625" customWidth="1"/>
    <col min="34" max="34" width="13.42578125" customWidth="1"/>
    <col min="35" max="35" width="11" customWidth="1"/>
    <col min="36" max="36" width="12.140625" customWidth="1"/>
  </cols>
  <sheetData>
    <row r="1" spans="1:3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6" x14ac:dyDescent="0.25">
      <c r="A2" s="24" t="s">
        <v>32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</row>
    <row r="3" spans="1:36" ht="28.5" x14ac:dyDescent="0.25">
      <c r="A3" s="6" t="s">
        <v>0</v>
      </c>
      <c r="B3" s="7" t="s">
        <v>1</v>
      </c>
      <c r="C3" s="8" t="s">
        <v>2</v>
      </c>
      <c r="D3" s="8"/>
      <c r="E3" s="8" t="s">
        <v>3</v>
      </c>
      <c r="F3" s="8"/>
      <c r="G3" s="8" t="s">
        <v>4</v>
      </c>
      <c r="H3" s="8"/>
      <c r="I3" s="8" t="s">
        <v>5</v>
      </c>
      <c r="J3" s="8"/>
      <c r="K3" s="8"/>
      <c r="L3" s="8" t="s">
        <v>6</v>
      </c>
      <c r="M3" s="8"/>
      <c r="N3" s="8"/>
      <c r="O3" s="8" t="s">
        <v>7</v>
      </c>
      <c r="P3" s="8"/>
      <c r="Q3" s="8"/>
      <c r="R3" s="8" t="s">
        <v>8</v>
      </c>
      <c r="S3" s="8"/>
      <c r="T3" s="8"/>
      <c r="U3" s="8" t="s">
        <v>9</v>
      </c>
      <c r="V3" s="8"/>
      <c r="W3" s="8"/>
      <c r="X3" s="8" t="s">
        <v>10</v>
      </c>
      <c r="Y3" s="8"/>
      <c r="Z3" s="8"/>
      <c r="AA3" s="8" t="s">
        <v>11</v>
      </c>
      <c r="AB3" s="8"/>
      <c r="AC3" s="8"/>
      <c r="AD3" s="8" t="s">
        <v>12</v>
      </c>
      <c r="AE3" s="8"/>
      <c r="AF3" s="8"/>
      <c r="AG3" s="8" t="s">
        <v>13</v>
      </c>
    </row>
    <row r="4" spans="1:36" x14ac:dyDescent="0.25">
      <c r="A4" s="25" t="s">
        <v>33</v>
      </c>
      <c r="B4" s="27" t="s">
        <v>20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9"/>
    </row>
    <row r="5" spans="1:36" x14ac:dyDescent="0.25">
      <c r="A5" s="26"/>
      <c r="B5" s="5" t="s">
        <v>14</v>
      </c>
      <c r="C5" s="3">
        <v>5667744</v>
      </c>
      <c r="D5" s="3">
        <v>0.93442528531860747</v>
      </c>
      <c r="E5" s="3">
        <v>5757012.0000000373</v>
      </c>
      <c r="F5" s="3">
        <v>0.95036067689289683</v>
      </c>
      <c r="G5" s="3">
        <v>5450123</v>
      </c>
      <c r="H5" s="3">
        <v>0.92345108292232325</v>
      </c>
      <c r="I5" s="3">
        <v>4282749</v>
      </c>
      <c r="J5" s="3"/>
      <c r="K5" s="3">
        <v>0.65732051625826227</v>
      </c>
      <c r="L5" s="3">
        <v>3738754</v>
      </c>
      <c r="M5" s="3"/>
      <c r="N5" s="3">
        <v>0.80148975250875776</v>
      </c>
      <c r="O5" s="19">
        <v>3118373.9999999702</v>
      </c>
      <c r="P5" s="3"/>
      <c r="Q5" s="3">
        <v>1.1779370578043167</v>
      </c>
      <c r="R5" s="19">
        <f>764082+2652809</f>
        <v>3416891</v>
      </c>
      <c r="S5" s="3"/>
      <c r="T5" s="3">
        <v>1.1402867673322317</v>
      </c>
      <c r="U5" s="19">
        <f>727888+2450734</f>
        <v>3178622</v>
      </c>
      <c r="V5" s="3"/>
      <c r="W5" s="3">
        <v>0.92561925152833613</v>
      </c>
      <c r="X5" s="3">
        <v>3514024.9999999553</v>
      </c>
      <c r="Y5" s="3"/>
      <c r="Z5" s="3">
        <v>1.1650012612950991</v>
      </c>
      <c r="AA5" s="3">
        <v>4486491</v>
      </c>
      <c r="AB5" s="3"/>
      <c r="AC5" s="3">
        <v>1.2839704464291612</v>
      </c>
      <c r="AD5" s="3">
        <v>4928103.9999999851</v>
      </c>
      <c r="AE5" s="3"/>
      <c r="AF5" s="3">
        <v>1.2510113329789239</v>
      </c>
      <c r="AG5" s="3">
        <v>6010299.0000000596</v>
      </c>
      <c r="AH5" s="16">
        <f>'2022'!D5/'2021'!AG5</f>
        <v>1.1378167708461646</v>
      </c>
      <c r="AJ5" s="12"/>
    </row>
    <row r="6" spans="1:36" x14ac:dyDescent="0.25">
      <c r="A6" s="26"/>
      <c r="B6" s="5" t="s">
        <v>15</v>
      </c>
      <c r="C6" s="3">
        <v>604174</v>
      </c>
      <c r="D6" s="3">
        <v>1.0422750314650004</v>
      </c>
      <c r="E6" s="3">
        <v>624074</v>
      </c>
      <c r="F6" s="3">
        <v>0.84943003285365404</v>
      </c>
      <c r="G6" s="3">
        <v>561996</v>
      </c>
      <c r="H6" s="3">
        <v>1.0508217754094828</v>
      </c>
      <c r="I6" s="3">
        <v>377797</v>
      </c>
      <c r="J6" s="3"/>
      <c r="K6" s="3">
        <v>0.52709348191480454</v>
      </c>
      <c r="L6" s="3">
        <v>342641</v>
      </c>
      <c r="M6" s="3"/>
      <c r="N6" s="3">
        <v>0.95396659001758422</v>
      </c>
      <c r="O6" s="19">
        <v>497438.15000000014</v>
      </c>
      <c r="P6" s="3"/>
      <c r="Q6" s="3">
        <v>1.0817172207708423</v>
      </c>
      <c r="R6" s="19">
        <f>501840+91294</f>
        <v>593134</v>
      </c>
      <c r="S6" s="3"/>
      <c r="T6" s="3">
        <v>1.1924334775199894</v>
      </c>
      <c r="U6" s="19">
        <f>382296+11801</f>
        <v>394097</v>
      </c>
      <c r="V6" s="3"/>
      <c r="W6" s="3">
        <v>1.0387322298650941</v>
      </c>
      <c r="X6" s="3">
        <v>400059</v>
      </c>
      <c r="Y6" s="3"/>
      <c r="Z6" s="3">
        <v>1.0578447894977736</v>
      </c>
      <c r="AA6" s="3">
        <v>467912</v>
      </c>
      <c r="AB6" s="3"/>
      <c r="AC6" s="3">
        <v>1.2659732243566817</v>
      </c>
      <c r="AD6" s="3">
        <v>560908</v>
      </c>
      <c r="AE6" s="3"/>
      <c r="AF6" s="3">
        <v>1.125263736003224</v>
      </c>
      <c r="AG6" s="3">
        <v>701170</v>
      </c>
      <c r="AH6" s="16">
        <f>'2022'!D6/'2021'!AG6</f>
        <v>1.1246587846028779</v>
      </c>
      <c r="AJ6" s="12"/>
    </row>
    <row r="7" spans="1:36" x14ac:dyDescent="0.25">
      <c r="A7" s="26"/>
      <c r="B7" s="5" t="s">
        <v>16</v>
      </c>
      <c r="C7" s="3">
        <v>183484</v>
      </c>
      <c r="D7" s="3">
        <v>0.893287380699894</v>
      </c>
      <c r="E7" s="3">
        <v>200289</v>
      </c>
      <c r="F7" s="3">
        <v>0.84567351638828547</v>
      </c>
      <c r="G7" s="3">
        <v>173290</v>
      </c>
      <c r="H7" s="3">
        <v>0.91601976500975613</v>
      </c>
      <c r="I7" s="3">
        <v>137011</v>
      </c>
      <c r="J7" s="3"/>
      <c r="K7" s="3">
        <v>0.5373805637925354</v>
      </c>
      <c r="L7" s="3">
        <v>67752</v>
      </c>
      <c r="M7" s="3"/>
      <c r="N7" s="3">
        <v>0.95261859609598909</v>
      </c>
      <c r="O7" s="19">
        <v>64157</v>
      </c>
      <c r="P7" s="3"/>
      <c r="Q7" s="3">
        <v>1.0837150127226463</v>
      </c>
      <c r="R7" s="19">
        <v>71057</v>
      </c>
      <c r="S7" s="3"/>
      <c r="T7" s="3">
        <v>0.75313177630761152</v>
      </c>
      <c r="U7" s="19">
        <v>67737</v>
      </c>
      <c r="V7" s="3"/>
      <c r="W7" s="3">
        <v>1.2265950228318876</v>
      </c>
      <c r="X7" s="3">
        <v>78126</v>
      </c>
      <c r="Y7" s="3"/>
      <c r="Z7" s="3">
        <v>1.4332062495327802</v>
      </c>
      <c r="AA7" s="3">
        <v>110545</v>
      </c>
      <c r="AB7" s="3"/>
      <c r="AC7" s="3">
        <v>1.4788650114750679</v>
      </c>
      <c r="AD7" s="3">
        <v>141497</v>
      </c>
      <c r="AE7" s="3"/>
      <c r="AF7" s="3">
        <v>1.1868739595383877</v>
      </c>
      <c r="AG7" s="3">
        <v>173046</v>
      </c>
      <c r="AH7" s="18">
        <f>'2022'!D7/'2021'!AG7</f>
        <v>0.96018399731863202</v>
      </c>
      <c r="AJ7" s="12"/>
    </row>
    <row r="8" spans="1:36" x14ac:dyDescent="0.25">
      <c r="A8" s="26"/>
      <c r="B8" s="5" t="s">
        <v>17</v>
      </c>
      <c r="C8" s="3">
        <v>23276</v>
      </c>
      <c r="D8" s="3">
        <v>0.967315494370242</v>
      </c>
      <c r="E8" s="3">
        <v>22850</v>
      </c>
      <c r="F8" s="3">
        <v>0.84575871819038639</v>
      </c>
      <c r="G8" s="3">
        <v>22982</v>
      </c>
      <c r="H8" s="3">
        <v>0.87958990360505929</v>
      </c>
      <c r="I8" s="3">
        <v>19794</v>
      </c>
      <c r="J8" s="3"/>
      <c r="K8" s="3">
        <v>1.1472190548587355</v>
      </c>
      <c r="L8" s="3">
        <v>19178</v>
      </c>
      <c r="M8" s="3"/>
      <c r="N8" s="3">
        <v>0.83434566537824406</v>
      </c>
      <c r="O8" s="19">
        <v>15201</v>
      </c>
      <c r="P8" s="3"/>
      <c r="Q8" s="3">
        <v>1.0493050959629384</v>
      </c>
      <c r="R8" s="19">
        <v>16928</v>
      </c>
      <c r="S8" s="3"/>
      <c r="T8" s="3">
        <v>2.0245979186376539</v>
      </c>
      <c r="U8" s="19">
        <v>17385</v>
      </c>
      <c r="V8" s="3"/>
      <c r="W8" s="3">
        <v>0.16965732087227414</v>
      </c>
      <c r="X8" s="3">
        <v>17112</v>
      </c>
      <c r="Y8" s="3"/>
      <c r="Z8" s="3">
        <v>3.1048475945648182</v>
      </c>
      <c r="AA8" s="3">
        <v>17819</v>
      </c>
      <c r="AB8" s="3"/>
      <c r="AC8" s="3">
        <v>1.1240759358921284</v>
      </c>
      <c r="AD8" s="3">
        <v>24549</v>
      </c>
      <c r="AE8" s="3"/>
      <c r="AF8" s="3">
        <v>0.87920239911611509</v>
      </c>
      <c r="AG8" s="3">
        <v>20052</v>
      </c>
      <c r="AH8" s="18">
        <f>'2022'!D8/'2021'!AG8</f>
        <v>1.1060243367245162</v>
      </c>
      <c r="AJ8" s="12"/>
    </row>
    <row r="9" spans="1:36" x14ac:dyDescent="0.25">
      <c r="A9" s="26"/>
      <c r="B9" s="27" t="s">
        <v>21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9"/>
    </row>
    <row r="10" spans="1:36" x14ac:dyDescent="0.25">
      <c r="A10" s="26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1:36" x14ac:dyDescent="0.25">
      <c r="A11" s="30" t="s">
        <v>18</v>
      </c>
      <c r="B11" s="31"/>
      <c r="C11" s="9">
        <f t="shared" ref="C11:AG11" si="0">SUM(C5:C8,C10)</f>
        <v>6478678</v>
      </c>
      <c r="D11" s="9"/>
      <c r="E11" s="9">
        <f t="shared" si="0"/>
        <v>6604225.0000000373</v>
      </c>
      <c r="F11" s="9"/>
      <c r="G11" s="9">
        <f t="shared" si="0"/>
        <v>6208391</v>
      </c>
      <c r="H11" s="9"/>
      <c r="I11" s="9">
        <f t="shared" si="0"/>
        <v>4817351</v>
      </c>
      <c r="J11" s="9"/>
      <c r="K11" s="9"/>
      <c r="L11" s="9">
        <f t="shared" si="0"/>
        <v>4168325</v>
      </c>
      <c r="M11" s="9"/>
      <c r="N11" s="9"/>
      <c r="O11" s="9">
        <f>SUM(O5:O8,O10)</f>
        <v>3695170.1499999706</v>
      </c>
      <c r="P11" s="9"/>
      <c r="Q11" s="9"/>
      <c r="R11" s="9">
        <f>SUM(R5:R8,R10)</f>
        <v>4098010</v>
      </c>
      <c r="S11" s="9"/>
      <c r="T11" s="9"/>
      <c r="U11" s="9">
        <f>SUM(U5:U8,U10)</f>
        <v>3657841</v>
      </c>
      <c r="V11" s="9"/>
      <c r="W11" s="9"/>
      <c r="X11" s="9">
        <f>SUM(X5:X8,X10)</f>
        <v>4009321.9999999553</v>
      </c>
      <c r="Y11" s="9"/>
      <c r="Z11" s="9"/>
      <c r="AA11" s="9">
        <f t="shared" si="0"/>
        <v>5082767</v>
      </c>
      <c r="AB11" s="9"/>
      <c r="AC11" s="9"/>
      <c r="AD11" s="9">
        <f t="shared" si="0"/>
        <v>5655057.9999999851</v>
      </c>
      <c r="AE11" s="9"/>
      <c r="AF11" s="9"/>
      <c r="AG11" s="9">
        <f t="shared" si="0"/>
        <v>6904567.0000000596</v>
      </c>
    </row>
    <row r="12" spans="1:3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21"/>
    </row>
    <row r="14" spans="1:36" x14ac:dyDescent="0.25">
      <c r="U14" s="13"/>
      <c r="V14" s="13"/>
      <c r="W14" s="13"/>
      <c r="X14" s="13"/>
      <c r="Y14" s="13"/>
      <c r="Z14" s="13"/>
    </row>
    <row r="15" spans="1:36" x14ac:dyDescent="0.25">
      <c r="X15" s="13"/>
      <c r="Y15" s="13"/>
      <c r="Z15" s="13"/>
    </row>
    <row r="17" spans="9:23" x14ac:dyDescent="0.25">
      <c r="I17" s="12"/>
      <c r="J17" s="12"/>
      <c r="K17" s="12"/>
    </row>
    <row r="18" spans="9:23" x14ac:dyDescent="0.25">
      <c r="U18" s="13"/>
      <c r="V18" s="13"/>
      <c r="W18" s="13"/>
    </row>
    <row r="20" spans="9:23" x14ac:dyDescent="0.25">
      <c r="I20" s="12"/>
      <c r="J20" s="12"/>
      <c r="K20" s="12"/>
    </row>
  </sheetData>
  <mergeCells count="5">
    <mergeCell ref="A2:AG2"/>
    <mergeCell ref="A4:A10"/>
    <mergeCell ref="B4:AG4"/>
    <mergeCell ref="B9:AG9"/>
    <mergeCell ref="A11:B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0"/>
  <sheetViews>
    <sheetView zoomScale="80" zoomScaleNormal="8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T5" sqref="AT5"/>
    </sheetView>
  </sheetViews>
  <sheetFormatPr defaultRowHeight="15" x14ac:dyDescent="0.25"/>
  <cols>
    <col min="1" max="1" width="16.85546875" customWidth="1"/>
    <col min="2" max="2" width="19" customWidth="1"/>
    <col min="3" max="3" width="19" hidden="1" customWidth="1"/>
    <col min="4" max="4" width="21.42578125" customWidth="1"/>
    <col min="5" max="6" width="21.42578125" hidden="1" customWidth="1"/>
    <col min="7" max="7" width="20.42578125" customWidth="1"/>
    <col min="8" max="9" width="20.42578125" hidden="1" customWidth="1"/>
    <col min="10" max="10" width="17.28515625" customWidth="1"/>
    <col min="11" max="12" width="17.28515625" hidden="1" customWidth="1"/>
    <col min="13" max="13" width="19.140625" customWidth="1"/>
    <col min="14" max="16" width="19.140625" hidden="1" customWidth="1"/>
    <col min="17" max="17" width="19.7109375" customWidth="1"/>
    <col min="18" max="20" width="19.7109375" hidden="1" customWidth="1"/>
    <col min="21" max="21" width="21.85546875" customWidth="1"/>
    <col min="22" max="24" width="21.85546875" hidden="1" customWidth="1"/>
    <col min="25" max="25" width="21.5703125" customWidth="1"/>
    <col min="26" max="28" width="21.5703125" hidden="1" customWidth="1"/>
    <col min="29" max="29" width="20.85546875" customWidth="1"/>
    <col min="30" max="32" width="20.85546875" hidden="1" customWidth="1"/>
    <col min="33" max="33" width="22.85546875" customWidth="1"/>
    <col min="34" max="36" width="22.85546875" hidden="1" customWidth="1"/>
    <col min="37" max="37" width="20.7109375" customWidth="1"/>
    <col min="38" max="40" width="20.7109375" hidden="1" customWidth="1"/>
    <col min="41" max="41" width="18.5703125" customWidth="1"/>
    <col min="42" max="44" width="18.5703125" hidden="1" customWidth="1"/>
    <col min="45" max="45" width="18.28515625" customWidth="1"/>
    <col min="46" max="46" width="13.42578125" style="18" customWidth="1"/>
    <col min="47" max="47" width="11" customWidth="1"/>
    <col min="48" max="48" width="12.140625" customWidth="1"/>
  </cols>
  <sheetData>
    <row r="1" spans="1:4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8" x14ac:dyDescent="0.25">
      <c r="A2" s="24" t="s">
        <v>34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</row>
    <row r="3" spans="1:48" ht="28.5" x14ac:dyDescent="0.25">
      <c r="A3" s="6" t="s">
        <v>0</v>
      </c>
      <c r="B3" s="7" t="s">
        <v>1</v>
      </c>
      <c r="C3" s="7"/>
      <c r="D3" s="8" t="s">
        <v>2</v>
      </c>
      <c r="E3" s="8"/>
      <c r="F3" s="8"/>
      <c r="G3" s="8" t="s">
        <v>3</v>
      </c>
      <c r="H3" s="8"/>
      <c r="I3" s="8"/>
      <c r="J3" s="8" t="s">
        <v>4</v>
      </c>
      <c r="K3" s="8"/>
      <c r="L3" s="8"/>
      <c r="M3" s="8" t="s">
        <v>5</v>
      </c>
      <c r="N3" s="8"/>
      <c r="O3" s="8"/>
      <c r="P3" s="8"/>
      <c r="Q3" s="8" t="s">
        <v>6</v>
      </c>
      <c r="R3" s="8"/>
      <c r="S3" s="8"/>
      <c r="T3" s="8"/>
      <c r="U3" s="8" t="s">
        <v>7</v>
      </c>
      <c r="V3" s="8"/>
      <c r="W3" s="8"/>
      <c r="X3" s="8"/>
      <c r="Y3" s="8" t="s">
        <v>8</v>
      </c>
      <c r="Z3" s="8"/>
      <c r="AA3" s="8"/>
      <c r="AB3" s="8"/>
      <c r="AC3" s="8" t="s">
        <v>9</v>
      </c>
      <c r="AD3" s="8"/>
      <c r="AE3" s="8"/>
      <c r="AF3" s="8"/>
      <c r="AG3" s="8" t="s">
        <v>10</v>
      </c>
      <c r="AH3" s="8"/>
      <c r="AI3" s="8"/>
      <c r="AJ3" s="8"/>
      <c r="AK3" s="8" t="s">
        <v>11</v>
      </c>
      <c r="AL3" s="8"/>
      <c r="AM3" s="8"/>
      <c r="AN3" s="8"/>
      <c r="AO3" s="8" t="s">
        <v>12</v>
      </c>
      <c r="AP3" s="8"/>
      <c r="AQ3" s="8"/>
      <c r="AR3" s="8"/>
      <c r="AS3" s="8" t="s">
        <v>13</v>
      </c>
    </row>
    <row r="4" spans="1:48" x14ac:dyDescent="0.25">
      <c r="A4" s="25" t="s">
        <v>33</v>
      </c>
      <c r="B4" s="27" t="s">
        <v>20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9"/>
    </row>
    <row r="5" spans="1:48" x14ac:dyDescent="0.25">
      <c r="A5" s="26"/>
      <c r="B5" s="5" t="s">
        <v>14</v>
      </c>
      <c r="C5" s="5">
        <v>0.93862011642528798</v>
      </c>
      <c r="D5" s="3">
        <v>6838619</v>
      </c>
      <c r="E5" s="3"/>
      <c r="F5" s="3">
        <v>1.0157501820830364</v>
      </c>
      <c r="G5" s="3">
        <v>5557367</v>
      </c>
      <c r="H5" s="3">
        <f>[1]я!$O$19+[2]Итог!$L$142</f>
        <v>5557367</v>
      </c>
      <c r="I5" s="3">
        <f>[1]я!$O$19+[2]Итог!$L$142</f>
        <v>5557367</v>
      </c>
      <c r="J5" s="3">
        <v>5786693</v>
      </c>
      <c r="K5" s="3">
        <f>[3]я!$O$19+[4]Итог!$L$144</f>
        <v>5786693</v>
      </c>
      <c r="L5" s="3">
        <f>[3]я!$O$19+[4]Итог!$L$144</f>
        <v>5786693</v>
      </c>
      <c r="M5" s="3">
        <v>4497277</v>
      </c>
      <c r="N5" s="3">
        <f>[5]я!$O$19+[6]Итог!$L$143</f>
        <v>4497277</v>
      </c>
      <c r="O5" s="3">
        <f>[5]я!$O$19+[6]Итог!$L$143</f>
        <v>4497277</v>
      </c>
      <c r="P5" s="3">
        <f>[5]я!$O$19+[6]Итог!$L$143</f>
        <v>4497277</v>
      </c>
      <c r="Q5" s="3">
        <v>4484475</v>
      </c>
      <c r="R5" s="3">
        <f>[7]Итог!$L$142+[8]я!$O$19</f>
        <v>4484475</v>
      </c>
      <c r="S5" s="3">
        <f>[7]Итог!$L$142+[8]я!$O$19</f>
        <v>4484475</v>
      </c>
      <c r="T5" s="3">
        <f>[7]Итог!$L$142+[8]я!$O$19</f>
        <v>4484475</v>
      </c>
      <c r="U5" s="3">
        <v>3910646</v>
      </c>
      <c r="V5" s="3">
        <f>[9]Итог!$L$142+[10]я!$O$19</f>
        <v>3910646</v>
      </c>
      <c r="W5" s="3">
        <f>[9]Итог!$L$142+[10]я!$O$19</f>
        <v>3910646</v>
      </c>
      <c r="X5" s="3">
        <f>[9]Итог!$L$142+[10]я!$O$19</f>
        <v>3910646</v>
      </c>
      <c r="Y5" s="3">
        <v>4065094</v>
      </c>
      <c r="Z5" s="3">
        <f>[9]Итог!$L$142+[10]я!$O$19</f>
        <v>3910646</v>
      </c>
      <c r="AA5" s="3">
        <f>[9]Итог!$L$142+[10]я!$O$19</f>
        <v>3910646</v>
      </c>
      <c r="AB5" s="3">
        <v>0.93026731025367793</v>
      </c>
      <c r="AC5" s="3">
        <v>4131294</v>
      </c>
      <c r="AD5" s="3">
        <f>[11]Итог!$L$142+[12]я!$O$19</f>
        <v>4131294</v>
      </c>
      <c r="AE5" s="3">
        <f>[11]Итог!$L$142+[12]я!$O$19</f>
        <v>4131294</v>
      </c>
      <c r="AF5" s="3">
        <f>[11]Итог!$L$142+[12]я!$O$19</f>
        <v>4131294</v>
      </c>
      <c r="AG5" s="3">
        <v>4292839</v>
      </c>
      <c r="AH5" s="3">
        <f>[13]Итог!$L$142+[14]я!$O$19</f>
        <v>4292839</v>
      </c>
      <c r="AI5" s="3">
        <f>[13]Итог!$L$142+[14]я!$O$19</f>
        <v>4292839</v>
      </c>
      <c r="AJ5" s="3">
        <f>[13]Итог!$L$142+[14]я!$O$19</f>
        <v>4292839</v>
      </c>
      <c r="AK5" s="3">
        <v>4707870</v>
      </c>
      <c r="AL5" s="3">
        <f>[15]Итог!$L$142+[16]я!$O$19</f>
        <v>4707870</v>
      </c>
      <c r="AM5" s="3">
        <f>[15]Итог!$L$142+[16]я!$O$19</f>
        <v>4707870</v>
      </c>
      <c r="AN5" s="3">
        <f>[15]Итог!$L$142+[16]я!$O$19</f>
        <v>4707870</v>
      </c>
      <c r="AO5" s="3">
        <v>5891591</v>
      </c>
      <c r="AP5" s="3">
        <f>[17]Итог!$L$142+[18]я!$O$19</f>
        <v>5891591</v>
      </c>
      <c r="AQ5" s="3">
        <f>[17]Итог!$L$142+[18]я!$O$19</f>
        <v>5891591</v>
      </c>
      <c r="AR5" s="3">
        <f>[17]Итог!$L$142+[18]я!$O$19</f>
        <v>5891591</v>
      </c>
      <c r="AS5" s="3">
        <v>6895202</v>
      </c>
      <c r="AT5" s="16"/>
      <c r="AV5" s="12"/>
    </row>
    <row r="6" spans="1:48" x14ac:dyDescent="0.25">
      <c r="A6" s="26"/>
      <c r="B6" s="5" t="s">
        <v>15</v>
      </c>
      <c r="C6" s="5">
        <v>1.0607080469456369</v>
      </c>
      <c r="D6" s="3">
        <v>788577</v>
      </c>
      <c r="E6" s="3"/>
      <c r="F6" s="3">
        <v>1.0329375312410001</v>
      </c>
      <c r="G6" s="3">
        <v>693898</v>
      </c>
      <c r="H6" s="3">
        <f>[1]я!$O$20+[2]Итог!$L$143</f>
        <v>693898</v>
      </c>
      <c r="I6" s="3">
        <f>[1]я!$O$20+[2]Итог!$L$143</f>
        <v>693898</v>
      </c>
      <c r="J6" s="3">
        <v>715480</v>
      </c>
      <c r="K6" s="3">
        <f>[3]я!$O$20+[4]Итог!$L$145</f>
        <v>715480</v>
      </c>
      <c r="L6" s="3">
        <f>[3]я!$O$20+[4]Итог!$L$145</f>
        <v>715480</v>
      </c>
      <c r="M6" s="3">
        <v>508219</v>
      </c>
      <c r="N6" s="3">
        <f>[5]я!$O$20+[6]Итог!$L$144</f>
        <v>508219</v>
      </c>
      <c r="O6" s="3">
        <f>[5]я!$O$20+[6]Итог!$L$144</f>
        <v>508219</v>
      </c>
      <c r="P6" s="3">
        <f>[5]я!$O$20+[6]Итог!$L$144</f>
        <v>508219</v>
      </c>
      <c r="Q6" s="3">
        <v>409166</v>
      </c>
      <c r="R6" s="3">
        <f>[7]Итог!$L$143+[8]я!$O$20</f>
        <v>409166</v>
      </c>
      <c r="S6" s="3">
        <f>[7]Итог!$L$143+[8]я!$O$20</f>
        <v>409166</v>
      </c>
      <c r="T6" s="3">
        <f>[7]Итог!$L$143+[8]я!$O$20</f>
        <v>409166</v>
      </c>
      <c r="U6" s="3">
        <v>494234</v>
      </c>
      <c r="V6" s="3">
        <f>[9]Итог!$L$143+[10]я!$O$20</f>
        <v>494234</v>
      </c>
      <c r="W6" s="3">
        <f>[9]Итог!$L$143+[10]я!$O$20</f>
        <v>494234</v>
      </c>
      <c r="X6" s="3">
        <f>[9]Итог!$L$143+[10]я!$O$20</f>
        <v>494234</v>
      </c>
      <c r="Y6" s="3">
        <v>517991</v>
      </c>
      <c r="Z6" s="3">
        <f>[9]Итог!$L$143+[10]я!$O$20</f>
        <v>494234</v>
      </c>
      <c r="AA6" s="3">
        <f>[9]Итог!$L$143+[10]я!$O$20</f>
        <v>494234</v>
      </c>
      <c r="AB6" s="3">
        <v>0.66443164613729777</v>
      </c>
      <c r="AC6" s="3">
        <v>498088</v>
      </c>
      <c r="AD6" s="3">
        <f>[11]Итог!$L$143+[12]я!$O$20</f>
        <v>498088</v>
      </c>
      <c r="AE6" s="3">
        <f>[11]Итог!$L$143+[12]я!$O$20</f>
        <v>498088</v>
      </c>
      <c r="AF6" s="3">
        <f>[11]Итог!$L$143+[12]я!$O$20</f>
        <v>498088</v>
      </c>
      <c r="AG6" s="3">
        <v>440745</v>
      </c>
      <c r="AH6" s="3">
        <f>[13]Итог!$L$143+[14]я!$O$20</f>
        <v>440745</v>
      </c>
      <c r="AI6" s="3">
        <f>[13]Итог!$L$143+[14]я!$O$20</f>
        <v>440745</v>
      </c>
      <c r="AJ6" s="3">
        <f>[13]Итог!$L$143+[14]я!$O$20</f>
        <v>440745</v>
      </c>
      <c r="AK6" s="3">
        <v>450062</v>
      </c>
      <c r="AL6" s="3">
        <f>[15]Итог!$L$143+[16]я!$O$20</f>
        <v>450062</v>
      </c>
      <c r="AM6" s="3">
        <f>[15]Итог!$L$143+[16]я!$O$20</f>
        <v>450062</v>
      </c>
      <c r="AN6" s="3">
        <f>[15]Итог!$L$143+[16]я!$O$20</f>
        <v>450062</v>
      </c>
      <c r="AO6" s="3">
        <v>551462</v>
      </c>
      <c r="AP6" s="3">
        <f>[17]Итог!$L$143+[18]я!$O$20</f>
        <v>551462</v>
      </c>
      <c r="AQ6" s="3">
        <f>[17]Итог!$L$143+[18]я!$O$20</f>
        <v>551462</v>
      </c>
      <c r="AR6" s="3">
        <f>[17]Итог!$L$143+[18]я!$O$20</f>
        <v>551462</v>
      </c>
      <c r="AS6" s="3">
        <v>637310</v>
      </c>
      <c r="AT6" s="16"/>
      <c r="AV6" s="12"/>
    </row>
    <row r="7" spans="1:48" x14ac:dyDescent="0.25">
      <c r="A7" s="26"/>
      <c r="B7" s="5" t="s">
        <v>16</v>
      </c>
      <c r="C7" s="5">
        <v>1.090504944845949</v>
      </c>
      <c r="D7" s="3">
        <v>166156</v>
      </c>
      <c r="E7" s="3"/>
      <c r="F7" s="3">
        <v>1.091588367378082</v>
      </c>
      <c r="G7" s="3">
        <v>188154</v>
      </c>
      <c r="H7" s="3">
        <f>[1]я!$O$21</f>
        <v>188154</v>
      </c>
      <c r="I7" s="3">
        <f>[1]я!$O$21</f>
        <v>188154</v>
      </c>
      <c r="J7" s="3">
        <v>167625</v>
      </c>
      <c r="K7" s="3">
        <f>[3]я!$O$21</f>
        <v>167625</v>
      </c>
      <c r="L7" s="3">
        <f>[3]я!$O$21</f>
        <v>167625</v>
      </c>
      <c r="M7" s="3">
        <v>112168</v>
      </c>
      <c r="N7" s="3">
        <f>[5]я!$O$21</f>
        <v>112168</v>
      </c>
      <c r="O7" s="3">
        <f>[5]я!$O$21</f>
        <v>112168</v>
      </c>
      <c r="P7" s="3">
        <f>[5]я!$O$21</f>
        <v>112168</v>
      </c>
      <c r="Q7" s="3">
        <v>63052</v>
      </c>
      <c r="R7" s="3">
        <f>[8]я!$O$21</f>
        <v>63052</v>
      </c>
      <c r="S7" s="3">
        <f>[8]я!$O$21</f>
        <v>63052</v>
      </c>
      <c r="T7" s="3">
        <f>[8]я!$O$21</f>
        <v>63052</v>
      </c>
      <c r="U7" s="3">
        <v>61752</v>
      </c>
      <c r="V7" s="3">
        <f>[10]я!$O$21</f>
        <v>61752</v>
      </c>
      <c r="W7" s="3">
        <f>[10]я!$O$21</f>
        <v>61752</v>
      </c>
      <c r="X7" s="3">
        <f>[10]я!$O$21</f>
        <v>61752</v>
      </c>
      <c r="Y7" s="3">
        <v>62827</v>
      </c>
      <c r="Z7" s="3">
        <f>[10]я!$O$21</f>
        <v>61752</v>
      </c>
      <c r="AA7" s="3">
        <f>[10]я!$O$21</f>
        <v>61752</v>
      </c>
      <c r="AB7" s="3">
        <v>0.95327694667661178</v>
      </c>
      <c r="AC7" s="3">
        <v>62172</v>
      </c>
      <c r="AD7" s="3">
        <f>[12]я!$O$21</f>
        <v>62172</v>
      </c>
      <c r="AE7" s="3">
        <f>[12]я!$O$21</f>
        <v>62172</v>
      </c>
      <c r="AF7" s="3">
        <f>[12]я!$O$21</f>
        <v>62172</v>
      </c>
      <c r="AG7" s="3">
        <v>73514</v>
      </c>
      <c r="AH7" s="3">
        <f>[14]я!$O$21</f>
        <v>73514</v>
      </c>
      <c r="AI7" s="3">
        <f>[14]я!$O$21</f>
        <v>73514</v>
      </c>
      <c r="AJ7" s="3">
        <f>[14]я!$O$21</f>
        <v>73514</v>
      </c>
      <c r="AK7" s="3">
        <v>98737</v>
      </c>
      <c r="AL7" s="3">
        <f>[16]я!$O$21</f>
        <v>98737</v>
      </c>
      <c r="AM7" s="3">
        <f>[16]я!$O$21</f>
        <v>98737</v>
      </c>
      <c r="AN7" s="3">
        <f>[16]я!$O$21</f>
        <v>98737</v>
      </c>
      <c r="AO7" s="3">
        <v>123444</v>
      </c>
      <c r="AP7" s="3">
        <f>[18]я!$O$21</f>
        <v>123444</v>
      </c>
      <c r="AQ7" s="3">
        <f>[18]я!$O$21</f>
        <v>123444</v>
      </c>
      <c r="AR7" s="3">
        <f>[18]я!$O$21</f>
        <v>123444</v>
      </c>
      <c r="AS7" s="3">
        <v>176825</v>
      </c>
      <c r="AV7" s="12"/>
    </row>
    <row r="8" spans="1:48" x14ac:dyDescent="0.25">
      <c r="A8" s="26"/>
      <c r="B8" s="5" t="s">
        <v>17</v>
      </c>
      <c r="C8" s="5">
        <v>1.3928550056848783</v>
      </c>
      <c r="D8" s="3">
        <v>22178</v>
      </c>
      <c r="E8" s="3"/>
      <c r="F8" s="3">
        <v>0.98169788623474818</v>
      </c>
      <c r="G8" s="3">
        <v>23403</v>
      </c>
      <c r="H8" s="3">
        <f>[1]я!$O$22</f>
        <v>23403</v>
      </c>
      <c r="I8" s="3">
        <f>[1]я!$O$22</f>
        <v>23403</v>
      </c>
      <c r="J8" s="3">
        <v>20184</v>
      </c>
      <c r="K8" s="3">
        <f>[3]я!$O$22</f>
        <v>20184</v>
      </c>
      <c r="L8" s="3">
        <f>[3]я!$O$22</f>
        <v>20184</v>
      </c>
      <c r="M8" s="3">
        <v>19721</v>
      </c>
      <c r="N8" s="3">
        <f>[5]я!$O$22</f>
        <v>19721</v>
      </c>
      <c r="O8" s="3">
        <f>[5]я!$O$22</f>
        <v>19721</v>
      </c>
      <c r="P8" s="3">
        <f>[5]я!$O$22</f>
        <v>19721</v>
      </c>
      <c r="Q8" s="3">
        <v>16481</v>
      </c>
      <c r="R8" s="3">
        <f>[8]я!$O$22</f>
        <v>16481</v>
      </c>
      <c r="S8" s="3">
        <f>[8]я!$O$22</f>
        <v>16481</v>
      </c>
      <c r="T8" s="3">
        <f>[8]я!$O$22</f>
        <v>16481</v>
      </c>
      <c r="U8" s="3">
        <v>19276</v>
      </c>
      <c r="V8" s="3">
        <f>[10]я!$O$22</f>
        <v>19276</v>
      </c>
      <c r="W8" s="3">
        <f>[10]я!$O$22</f>
        <v>19276</v>
      </c>
      <c r="X8" s="3">
        <f>[10]я!$O$22</f>
        <v>19276</v>
      </c>
      <c r="Y8" s="3">
        <v>14687</v>
      </c>
      <c r="Z8" s="3">
        <f>[10]я!$O$22</f>
        <v>19276</v>
      </c>
      <c r="AA8" s="3">
        <f>[10]я!$O$22</f>
        <v>19276</v>
      </c>
      <c r="AB8" s="3">
        <v>1.0269966918714555</v>
      </c>
      <c r="AC8" s="3">
        <v>17410</v>
      </c>
      <c r="AD8" s="3">
        <f>[12]я!$O$22</f>
        <v>17410</v>
      </c>
      <c r="AE8" s="3">
        <f>[12]я!$O$22</f>
        <v>17410</v>
      </c>
      <c r="AF8" s="3">
        <f>[12]я!$O$22</f>
        <v>17410</v>
      </c>
      <c r="AG8" s="3">
        <v>15414</v>
      </c>
      <c r="AH8" s="3">
        <f>[14]я!$O$22</f>
        <v>15414</v>
      </c>
      <c r="AI8" s="3">
        <f>[14]я!$O$22</f>
        <v>15414</v>
      </c>
      <c r="AJ8" s="3">
        <f>[14]я!$O$22</f>
        <v>15414</v>
      </c>
      <c r="AK8" s="3">
        <v>17569</v>
      </c>
      <c r="AL8" s="3">
        <f>[16]я!$O$22</f>
        <v>17569</v>
      </c>
      <c r="AM8" s="3">
        <f>[16]я!$O$22</f>
        <v>17569</v>
      </c>
      <c r="AN8" s="3">
        <f>[16]я!$O$22</f>
        <v>17569</v>
      </c>
      <c r="AO8" s="3">
        <v>24308</v>
      </c>
      <c r="AP8" s="3">
        <f>[18]я!$O$22</f>
        <v>24308</v>
      </c>
      <c r="AQ8" s="3">
        <f>[18]я!$O$22</f>
        <v>24308</v>
      </c>
      <c r="AR8" s="3">
        <f>[18]я!$O$22</f>
        <v>24308</v>
      </c>
      <c r="AS8" s="3">
        <v>21343</v>
      </c>
      <c r="AV8" s="12"/>
    </row>
    <row r="9" spans="1:48" x14ac:dyDescent="0.25">
      <c r="A9" s="26"/>
      <c r="B9" s="27" t="s">
        <v>21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9"/>
    </row>
    <row r="10" spans="1:48" x14ac:dyDescent="0.25">
      <c r="A10" s="26"/>
      <c r="B10" s="4"/>
      <c r="C10" s="4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</row>
    <row r="11" spans="1:48" x14ac:dyDescent="0.25">
      <c r="A11" s="30" t="s">
        <v>18</v>
      </c>
      <c r="B11" s="31"/>
      <c r="C11" s="20"/>
      <c r="D11" s="9">
        <f t="shared" ref="D11:AS11" si="0">SUM(D5:D8,D10)</f>
        <v>7815530</v>
      </c>
      <c r="E11" s="9"/>
      <c r="F11" s="9"/>
      <c r="G11" s="9">
        <f t="shared" si="0"/>
        <v>6462822</v>
      </c>
      <c r="H11" s="9"/>
      <c r="I11" s="9"/>
      <c r="J11" s="9">
        <f t="shared" si="0"/>
        <v>6689982</v>
      </c>
      <c r="K11" s="9"/>
      <c r="L11" s="9"/>
      <c r="M11" s="9">
        <f t="shared" si="0"/>
        <v>5137385</v>
      </c>
      <c r="N11" s="9"/>
      <c r="O11" s="9"/>
      <c r="P11" s="9"/>
      <c r="Q11" s="9">
        <f t="shared" si="0"/>
        <v>4973174</v>
      </c>
      <c r="R11" s="9"/>
      <c r="S11" s="9"/>
      <c r="T11" s="9"/>
      <c r="U11" s="9">
        <f>SUM(U5:U8,U10)</f>
        <v>4485908</v>
      </c>
      <c r="V11" s="9"/>
      <c r="W11" s="9"/>
      <c r="X11" s="9"/>
      <c r="Y11" s="9">
        <f>SUM(Y5:Y8,Y10)</f>
        <v>4660599</v>
      </c>
      <c r="Z11" s="9"/>
      <c r="AA11" s="9"/>
      <c r="AB11" s="9"/>
      <c r="AC11" s="9">
        <f>SUM(AC5:AC8,AC10)</f>
        <v>4708964</v>
      </c>
      <c r="AD11" s="9"/>
      <c r="AE11" s="9"/>
      <c r="AF11" s="9"/>
      <c r="AG11" s="9">
        <f>SUM(AG5:AG8,AG10)</f>
        <v>4822512</v>
      </c>
      <c r="AH11" s="9"/>
      <c r="AI11" s="9"/>
      <c r="AJ11" s="9"/>
      <c r="AK11" s="9">
        <f t="shared" si="0"/>
        <v>5274238</v>
      </c>
      <c r="AL11" s="9"/>
      <c r="AM11" s="9"/>
      <c r="AN11" s="9"/>
      <c r="AO11" s="9">
        <f t="shared" si="0"/>
        <v>6590805</v>
      </c>
      <c r="AP11" s="9"/>
      <c r="AQ11" s="9"/>
      <c r="AR11" s="9"/>
      <c r="AS11" s="9">
        <f t="shared" si="0"/>
        <v>7730680</v>
      </c>
    </row>
    <row r="12" spans="1:48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21"/>
    </row>
    <row r="13" spans="1:48" x14ac:dyDescent="0.25">
      <c r="G13" s="22"/>
      <c r="J13" s="12"/>
      <c r="K13" s="12"/>
      <c r="L13" s="12"/>
      <c r="M13" s="12"/>
      <c r="N13" s="12"/>
      <c r="O13" s="12"/>
      <c r="P13" s="12"/>
      <c r="Q13" s="12"/>
      <c r="U13" s="12"/>
      <c r="Y13" s="12"/>
      <c r="Z13" s="12"/>
      <c r="AA13" s="12"/>
      <c r="AB13" s="12"/>
      <c r="AC13" s="12"/>
      <c r="AG13" s="12"/>
      <c r="AH13" s="12"/>
      <c r="AI13" s="12"/>
      <c r="AJ13" s="12"/>
      <c r="AK13" s="12"/>
      <c r="AS13" s="12"/>
    </row>
    <row r="14" spans="1:48" x14ac:dyDescent="0.25">
      <c r="J14" s="12"/>
      <c r="K14" s="12"/>
      <c r="L14" s="12"/>
      <c r="M14" s="12"/>
      <c r="N14" s="12"/>
      <c r="O14" s="12"/>
      <c r="P14" s="12"/>
      <c r="Q14" s="12"/>
      <c r="U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O14" s="12"/>
    </row>
    <row r="15" spans="1:48" x14ac:dyDescent="0.25">
      <c r="AG15" s="13"/>
      <c r="AH15" s="13"/>
      <c r="AI15" s="13"/>
      <c r="AJ15" s="13"/>
    </row>
    <row r="17" spans="13:32" x14ac:dyDescent="0.25">
      <c r="M17" s="12"/>
      <c r="N17" s="12"/>
      <c r="O17" s="12"/>
      <c r="P17" s="12"/>
    </row>
    <row r="18" spans="13:32" x14ac:dyDescent="0.25">
      <c r="AC18" s="13"/>
      <c r="AD18" s="13"/>
      <c r="AE18" s="13"/>
      <c r="AF18" s="13"/>
    </row>
    <row r="20" spans="13:32" x14ac:dyDescent="0.25">
      <c r="M20" s="12"/>
      <c r="N20" s="12"/>
      <c r="O20" s="12"/>
      <c r="P20" s="12"/>
    </row>
  </sheetData>
  <mergeCells count="5">
    <mergeCell ref="A2:AS2"/>
    <mergeCell ref="A4:A10"/>
    <mergeCell ref="B4:AS4"/>
    <mergeCell ref="B9:AS9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2014</vt:lpstr>
      <vt:lpstr>2015 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Наталья Анатольевна</dc:creator>
  <cp:lastModifiedBy>Сафронова Ольга Харитоновна</cp:lastModifiedBy>
  <dcterms:created xsi:type="dcterms:W3CDTF">2013-11-13T16:10:49Z</dcterms:created>
  <dcterms:modified xsi:type="dcterms:W3CDTF">2025-01-20T07:58:27Z</dcterms:modified>
</cp:coreProperties>
</file>