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0" yWindow="6915" windowWidth="25200" windowHeight="5130" firstSheet="8" activeTab="11"/>
  </bookViews>
  <sheets>
    <sheet name="2013" sheetId="2" state="hidden" r:id="rId1"/>
    <sheet name="2014" sheetId="1" state="hidden" r:id="rId2"/>
    <sheet name="2015" sheetId="4" state="hidden" r:id="rId3"/>
    <sheet name="2016" sheetId="5" state="hidden" r:id="rId4"/>
    <sheet name="2017" sheetId="6" state="hidden" r:id="rId5"/>
    <sheet name="2018" sheetId="7" state="hidden" r:id="rId6"/>
    <sheet name="2019" sheetId="8" state="hidden" r:id="rId7"/>
    <sheet name="2020" sheetId="9" state="hidden" r:id="rId8"/>
    <sheet name="2021" sheetId="10" r:id="rId9"/>
    <sheet name="2022" sheetId="11" r:id="rId10"/>
    <sheet name="2023" sheetId="12" r:id="rId11"/>
    <sheet name="2024" sheetId="13" r:id="rId12"/>
  </sheets>
  <calcPr calcId="162913"/>
</workbook>
</file>

<file path=xl/calcChain.xml><?xml version="1.0" encoding="utf-8"?>
<calcChain xmlns="http://schemas.openxmlformats.org/spreadsheetml/2006/main">
  <c r="N5" i="13" l="1"/>
  <c r="M5" i="13"/>
  <c r="L5" i="13" l="1"/>
  <c r="K5" i="13" l="1"/>
  <c r="J5" i="13"/>
  <c r="H6" i="13" l="1"/>
  <c r="H5" i="13"/>
  <c r="G6" i="13" l="1"/>
  <c r="G5" i="13"/>
  <c r="F6" i="13" l="1"/>
  <c r="F5" i="13"/>
  <c r="E6" i="13" l="1"/>
  <c r="E5" i="13"/>
  <c r="D6" i="13" l="1"/>
  <c r="D5" i="13"/>
  <c r="C6" i="13" l="1"/>
  <c r="C5" i="13"/>
  <c r="N5" i="12"/>
  <c r="N6" i="12"/>
  <c r="N17" i="12"/>
  <c r="K17" i="13" l="1"/>
  <c r="G17" i="13"/>
  <c r="C17" i="13"/>
  <c r="N17" i="13"/>
  <c r="M17" i="13"/>
  <c r="L17" i="13"/>
  <c r="J17" i="13"/>
  <c r="I17" i="13"/>
  <c r="H17" i="13"/>
  <c r="F17" i="13"/>
  <c r="E17" i="13"/>
  <c r="D17" i="13"/>
  <c r="M6" i="12" l="1"/>
  <c r="M5" i="12"/>
  <c r="L5" i="12" l="1"/>
  <c r="L6" i="12" l="1"/>
  <c r="K6" i="12" l="1"/>
  <c r="K5" i="12"/>
  <c r="J6" i="12" l="1"/>
  <c r="J5" i="12"/>
  <c r="I6" i="12" l="1"/>
  <c r="I5" i="12"/>
  <c r="G7" i="12" l="1"/>
  <c r="G6" i="12" l="1"/>
  <c r="H6" i="12" l="1"/>
  <c r="H5" i="12"/>
  <c r="E5" i="12"/>
  <c r="F5" i="12"/>
  <c r="G5" i="12" l="1"/>
  <c r="F6" i="12" l="1"/>
  <c r="E6" i="12" l="1"/>
  <c r="D6" i="12" l="1"/>
  <c r="D5" i="12"/>
  <c r="C5" i="12"/>
  <c r="D17" i="12" l="1"/>
  <c r="I17" i="12" l="1"/>
  <c r="J17" i="12"/>
  <c r="K17" i="12"/>
  <c r="L17" i="12"/>
  <c r="M17" i="12"/>
  <c r="C6" i="12"/>
  <c r="AH15" i="10" l="1"/>
  <c r="AH14" i="10"/>
  <c r="AH9" i="10"/>
  <c r="AH7" i="10"/>
  <c r="AH6" i="10"/>
  <c r="AH5" i="10"/>
  <c r="H17" i="12"/>
  <c r="G17" i="12"/>
  <c r="F17" i="12"/>
  <c r="E17" i="12"/>
  <c r="C17" i="12" l="1"/>
  <c r="AS6" i="11"/>
  <c r="AS5" i="11"/>
  <c r="AO6" i="11" l="1"/>
  <c r="AO5" i="11"/>
  <c r="AK5" i="11" l="1"/>
  <c r="AK6" i="11"/>
  <c r="AG17" i="11" l="1"/>
  <c r="AG6" i="11"/>
  <c r="AC5" i="11" l="1"/>
  <c r="AC9" i="11"/>
  <c r="AC6" i="11"/>
  <c r="U5" i="11" l="1"/>
  <c r="Q5" i="11" l="1"/>
  <c r="J17" i="11" l="1"/>
  <c r="M17" i="11"/>
  <c r="M5" i="11"/>
  <c r="J5" i="11" l="1"/>
  <c r="G5" i="11" l="1"/>
  <c r="D5" i="11" l="1"/>
  <c r="D17" i="11" l="1"/>
  <c r="W15" i="9"/>
  <c r="W14" i="9"/>
  <c r="W9" i="9"/>
  <c r="W7" i="9"/>
  <c r="W6" i="9"/>
  <c r="W5" i="9"/>
  <c r="AS17" i="11"/>
  <c r="AO17" i="11"/>
  <c r="AK17" i="11"/>
  <c r="AC17" i="11"/>
  <c r="Y17" i="11"/>
  <c r="U17" i="11"/>
  <c r="Q17" i="11"/>
  <c r="G17" i="11"/>
  <c r="AG14" i="10" l="1"/>
  <c r="AG5" i="10"/>
  <c r="AD14" i="10" l="1"/>
  <c r="AA14" i="10"/>
  <c r="AD5" i="10"/>
  <c r="AA5" i="10"/>
  <c r="X14" i="10"/>
  <c r="X5" i="10"/>
  <c r="U14" i="10"/>
  <c r="U5" i="10"/>
  <c r="R14" i="10"/>
  <c r="R5" i="10"/>
  <c r="O14" i="10"/>
  <c r="O5" i="10"/>
  <c r="L14" i="10"/>
  <c r="L5" i="10"/>
  <c r="I14" i="10"/>
  <c r="I5" i="10"/>
  <c r="G5" i="10"/>
  <c r="G14" i="10"/>
  <c r="E14" i="10"/>
  <c r="E5" i="10"/>
  <c r="C5" i="10"/>
  <c r="C14" i="10"/>
  <c r="X17" i="10"/>
  <c r="L17" i="10"/>
  <c r="C17" i="10"/>
  <c r="AG17" i="10"/>
  <c r="AD17" i="10"/>
  <c r="AA17" i="10"/>
  <c r="U17" i="10"/>
  <c r="R17" i="10"/>
  <c r="O17" i="10"/>
  <c r="I17" i="10"/>
  <c r="G17" i="10"/>
  <c r="E17" i="10"/>
  <c r="V5" i="9"/>
  <c r="O15" i="8"/>
  <c r="O14" i="8"/>
  <c r="O9" i="8"/>
  <c r="O7" i="8"/>
  <c r="O6" i="8"/>
  <c r="O5" i="8"/>
  <c r="T14" i="9"/>
  <c r="T5" i="9"/>
  <c r="R14" i="9"/>
  <c r="R5" i="9"/>
  <c r="P14" i="9"/>
  <c r="P5" i="9"/>
  <c r="N14" i="9"/>
  <c r="N5" i="9"/>
  <c r="L17" i="9"/>
  <c r="L14" i="9"/>
  <c r="L5" i="9"/>
  <c r="J5" i="9"/>
  <c r="J14" i="9"/>
  <c r="H14" i="9"/>
  <c r="H5" i="9"/>
  <c r="F14" i="9"/>
  <c r="F5" i="9"/>
  <c r="E14" i="9"/>
  <c r="E15" i="9"/>
  <c r="E5" i="9"/>
  <c r="D14" i="9"/>
  <c r="D15" i="9"/>
  <c r="D5" i="9"/>
  <c r="Q6" i="8"/>
  <c r="Q7" i="8"/>
  <c r="Q9" i="8"/>
  <c r="Q14" i="8"/>
  <c r="Q15" i="8"/>
  <c r="Q5" i="8"/>
  <c r="C5" i="9"/>
  <c r="C14" i="9"/>
  <c r="V17" i="9"/>
  <c r="T17" i="9"/>
  <c r="R17" i="9"/>
  <c r="P17" i="9"/>
  <c r="N17" i="9"/>
  <c r="J17" i="9"/>
  <c r="H17" i="9"/>
  <c r="F17" i="9"/>
  <c r="E17" i="9"/>
  <c r="D17" i="9"/>
  <c r="C17" i="9"/>
  <c r="N14" i="8"/>
  <c r="N5" i="8"/>
  <c r="M14" i="8"/>
  <c r="M5" i="8"/>
  <c r="L14" i="8"/>
  <c r="L5" i="8"/>
  <c r="K14" i="8"/>
  <c r="K5" i="8"/>
  <c r="J14" i="8"/>
  <c r="J5" i="8"/>
  <c r="I14" i="8"/>
  <c r="I5" i="8"/>
  <c r="H14" i="8"/>
  <c r="H5" i="8"/>
  <c r="G14" i="8"/>
  <c r="G5" i="8"/>
  <c r="F14" i="8"/>
  <c r="F5" i="8"/>
  <c r="E14" i="8"/>
  <c r="E5" i="8"/>
  <c r="D14" i="8"/>
  <c r="D5" i="8"/>
  <c r="C14" i="8"/>
  <c r="C5" i="8"/>
  <c r="J17" i="8"/>
  <c r="I17" i="8"/>
  <c r="G17" i="8"/>
  <c r="F17" i="8"/>
  <c r="E17" i="8"/>
  <c r="C17" i="8"/>
  <c r="N17" i="8"/>
  <c r="M17" i="8"/>
  <c r="L17" i="8"/>
  <c r="K17" i="8"/>
  <c r="H17" i="8"/>
  <c r="D17" i="8"/>
  <c r="N14" i="7"/>
  <c r="N5" i="7"/>
  <c r="M14" i="7"/>
  <c r="M5" i="7"/>
  <c r="L14" i="7"/>
  <c r="L5" i="7"/>
  <c r="K14" i="7"/>
  <c r="K5" i="7"/>
  <c r="J14" i="7"/>
  <c r="I14" i="7"/>
  <c r="I5" i="7"/>
  <c r="H14" i="7"/>
  <c r="H5" i="7"/>
  <c r="G14" i="7"/>
  <c r="G5" i="7"/>
  <c r="F14" i="7"/>
  <c r="F5" i="7"/>
  <c r="E14" i="7"/>
  <c r="E5" i="7"/>
  <c r="D14" i="7"/>
  <c r="D5" i="7"/>
  <c r="D17" i="7"/>
  <c r="C14" i="7"/>
  <c r="C5" i="7"/>
  <c r="N17" i="7"/>
  <c r="M17" i="7"/>
  <c r="J17" i="7"/>
  <c r="I17" i="7"/>
  <c r="G17" i="7"/>
  <c r="E17" i="7"/>
  <c r="L17" i="7"/>
  <c r="K17" i="7"/>
  <c r="H17" i="7"/>
  <c r="F17" i="7"/>
  <c r="C17" i="7"/>
  <c r="M14" i="6"/>
  <c r="M5" i="6"/>
  <c r="L14" i="6"/>
  <c r="L5" i="6"/>
  <c r="K14" i="6"/>
  <c r="K5" i="6"/>
  <c r="J14" i="6"/>
  <c r="J5" i="6"/>
  <c r="J17" i="6"/>
  <c r="I5" i="6"/>
  <c r="I17" i="6"/>
  <c r="H14" i="6"/>
  <c r="H5" i="6"/>
  <c r="G17" i="6"/>
  <c r="F14" i="6"/>
  <c r="F5" i="6"/>
  <c r="E14" i="6"/>
  <c r="E5" i="6"/>
  <c r="D14" i="6"/>
  <c r="D5" i="6"/>
  <c r="C6" i="6"/>
  <c r="C7" i="6"/>
  <c r="C14" i="6"/>
  <c r="C5" i="6"/>
  <c r="C17" i="6"/>
  <c r="H17" i="6"/>
  <c r="F17" i="6"/>
  <c r="E17" i="6"/>
  <c r="D17" i="6"/>
  <c r="N17" i="6"/>
  <c r="M17" i="6"/>
  <c r="L17" i="6"/>
  <c r="K17" i="6"/>
  <c r="N14" i="5"/>
  <c r="N5" i="5"/>
  <c r="N17" i="5"/>
  <c r="M5" i="5"/>
  <c r="M14" i="5"/>
  <c r="M17" i="5"/>
  <c r="L14" i="5"/>
  <c r="L5" i="5"/>
  <c r="L17" i="5"/>
  <c r="J17" i="5"/>
  <c r="I17" i="5"/>
  <c r="H17" i="5"/>
  <c r="G17" i="5"/>
  <c r="F17" i="5"/>
  <c r="E17" i="5"/>
  <c r="D17" i="5"/>
  <c r="C17" i="5"/>
  <c r="K14" i="5"/>
  <c r="K5" i="5"/>
  <c r="K17" i="5"/>
  <c r="N17" i="4"/>
  <c r="M17" i="4"/>
  <c r="L17" i="4"/>
  <c r="K17" i="4"/>
  <c r="J17" i="4"/>
  <c r="I17" i="4"/>
  <c r="H17" i="4"/>
  <c r="G17" i="4"/>
  <c r="F17" i="4"/>
  <c r="E17" i="4"/>
  <c r="D17" i="4"/>
  <c r="N13" i="2"/>
  <c r="M13" i="2"/>
  <c r="L13" i="2"/>
  <c r="K13" i="2"/>
  <c r="J13" i="2"/>
  <c r="I13" i="2"/>
  <c r="H13" i="2"/>
  <c r="G13" i="2"/>
  <c r="F13" i="2"/>
  <c r="E13" i="2"/>
  <c r="D13" i="2"/>
  <c r="C13" i="2"/>
  <c r="C13" i="1"/>
  <c r="N13" i="1"/>
  <c r="M13" i="1"/>
  <c r="L13" i="1"/>
  <c r="K13" i="1"/>
  <c r="J13" i="1"/>
  <c r="I13" i="1"/>
  <c r="H13" i="1"/>
  <c r="G13" i="1"/>
  <c r="F13" i="1"/>
  <c r="E13" i="1"/>
  <c r="D13" i="1"/>
  <c r="C17" i="4"/>
</calcChain>
</file>

<file path=xl/sharedStrings.xml><?xml version="1.0" encoding="utf-8"?>
<sst xmlns="http://schemas.openxmlformats.org/spreadsheetml/2006/main" count="352" uniqueCount="41">
  <si>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</si>
  <si>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</si>
  <si>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</si>
  <si>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</si>
  <si>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</si>
  <si>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</si>
  <si>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</si>
  <si>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</si>
  <si>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</si>
  <si>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</si>
  <si>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</si>
  <si>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</si>
  <si>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</si>
  <si>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</si>
  <si>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</si>
  <si>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</si>
  <si>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</si>
  <si>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</si>
  <si>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</si>
  <si>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МВтч</t>
  </si>
  <si>
    <t>Население, МВтч</t>
  </si>
  <si>
    <t>Информация о фактическом полезном отпуске электрической энергии (мощности) потребителям ООО "РУСЭНЕРГОСБЫТ" в границах Калининградской области в разрезе ТСО за 2014 год</t>
  </si>
  <si>
    <t>ОАО Янтарьэнерго</t>
  </si>
  <si>
    <t>Информация о фактическом полезном отпуске электрической энергии (мощности) потребителям ООО "РУСЭНЕРГОСБЫТ" в границах Калининградской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</si>
  <si>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Калининградской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</si>
  <si>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Калининградской области в разрезе ТСО за 2016 год</t>
  </si>
  <si>
    <t>Мощность СО, МВт</t>
  </si>
  <si>
    <t>Население, КВтч</t>
  </si>
  <si>
    <t>Прочие потребители, КВтч</t>
  </si>
  <si>
    <t>АО "Янтарьэнерго"</t>
  </si>
  <si>
    <t>Информация о фактическом полезном отпуске электрической энергии (мощности) потребителям ООО "РУСЭНЕРГОСБЫТ" в границах Калининградской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</si>
  <si>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Калининградской области в разрезе ТСО за 2018 год</t>
  </si>
  <si>
    <t>ОАО "Янтарьэнерго"</t>
  </si>
  <si>
    <t>Информация о фактическом полезном отпуске электрической энергии (мощности) потребителям ООО "РУСЭНЕРГОСБЫТ" в границах Калининградской области в разрезе ТСО за 2019 год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</si>
  <si>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</si>
  <si>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</si>
  <si>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Калининградской области в разрезе ТСО за 2020 год</t>
  </si>
  <si>
    <t>Информация о фактическом полезном отпуске электрической энергии (мощности) потребителям ООО "РУСЭНЕРГОСБЫТ" в границах Калининградской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</si>
  <si>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Калининградской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</si>
  <si>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Калининградской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</si>
  <si>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Калининградской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</si>
</sst>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_р_._-;\-* #,##0_р_._-;_-* &quot;-&quot;_р_._-;_-@_-"/>
    <numFmt numFmtId="165" formatCode="_-* #,##0.00_р_._-;\-* #,##0.00_р_._-;_-* &quot;-&quot;??_р_._-;_-@_-"/>
    <numFmt numFmtId="166" formatCode="#,##0_ ;\-#,##0\ "/>
    <numFmt numFmtId="167" formatCode="_-* #,##0.000_р_._-;\-* #,##0.000_р_._-;_-* &quot;-&quot;???_р_._-;_-@_-"/>
    <numFmt numFmtId="168" formatCode="#,##0.000_ ;\-#,##0.000\ "/>
    <numFmt numFmtId="169" formatCode="_-* #,##0_р_._-;\-* #,##0_р_._-;_-* &quot;-&quot;???_р_._-;_-@_-"/>
    <numFmt numFmtId="170" formatCode="_-* #,##0_р_._-;\-* #,##0_р_._-;_-* &quot;-&quot;??_р_._-;_-@_-"/>
    <numFmt numFmtId="171" formatCode="#,##0.0000000000_ ;\-#,##0.0000000000\ "/>
    <numFmt numFmtId="172" formatCode="_-* #,##0.000_р_._-;\-* #,##0.000_р_._-;_-* &quot;-&quot;??_р_._-;_-@_-"/>
    <numFmt numFmtId="173" formatCode="0.000"/>
    <numFmt numFmtId="17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center" wrapText="1"/>
    </xf>
    <xf numFmtId="165" fontId="2" fillId="0" borderId="3" xfId="0" applyNumberFormat="1" applyFont="1" applyBorder="1"/>
    <xf numFmtId="165" fontId="2" fillId="0" borderId="3" xfId="1" applyNumberFormat="1" applyFont="1" applyBorder="1"/>
    <xf numFmtId="0" fontId="2" fillId="0" borderId="3" xfId="0" applyFont="1" applyBorder="1" applyAlignment="1">
      <alignment vertical="center" wrapText="1"/>
    </xf>
    <xf numFmtId="165" fontId="2" fillId="0" borderId="3" xfId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3" xfId="1" applyNumberFormat="1" applyFont="1" applyBorder="1"/>
    <xf numFmtId="1" fontId="2" fillId="0" borderId="3" xfId="0" applyNumberFormat="1" applyFont="1" applyBorder="1"/>
    <xf numFmtId="1" fontId="2" fillId="0" borderId="3" xfId="1" applyNumberFormat="1" applyFont="1" applyBorder="1"/>
    <xf numFmtId="1" fontId="3" fillId="0" borderId="3" xfId="0" applyNumberFormat="1" applyFont="1" applyBorder="1"/>
    <xf numFmtId="1" fontId="3" fillId="0" borderId="3" xfId="1" applyNumberFormat="1" applyFont="1" applyBorder="1"/>
    <xf numFmtId="164" fontId="2" fillId="0" borderId="3" xfId="1" applyNumberFormat="1" applyFont="1" applyBorder="1"/>
    <xf numFmtId="166" fontId="4" fillId="0" borderId="3" xfId="1" applyNumberFormat="1" applyFont="1" applyBorder="1"/>
    <xf numFmtId="164" fontId="4" fillId="0" borderId="3" xfId="1" applyNumberFormat="1" applyFont="1" applyBorder="1"/>
    <xf numFmtId="167" fontId="2" fillId="0" borderId="3" xfId="1" applyNumberFormat="1" applyFont="1" applyBorder="1"/>
    <xf numFmtId="168" fontId="2" fillId="0" borderId="3" xfId="1" applyNumberFormat="1" applyFont="1" applyBorder="1"/>
    <xf numFmtId="169" fontId="2" fillId="0" borderId="3" xfId="1" applyNumberFormat="1" applyFont="1" applyBorder="1"/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65" fontId="2" fillId="0" borderId="10" xfId="1" applyFont="1" applyBorder="1" applyAlignment="1">
      <alignment vertical="center"/>
    </xf>
    <xf numFmtId="165" fontId="2" fillId="0" borderId="11" xfId="1" applyFont="1" applyBorder="1" applyAlignment="1">
      <alignment vertical="center"/>
    </xf>
    <xf numFmtId="166" fontId="4" fillId="0" borderId="15" xfId="1" applyNumberFormat="1" applyFont="1" applyBorder="1"/>
    <xf numFmtId="165" fontId="2" fillId="0" borderId="15" xfId="1" applyNumberFormat="1" applyFont="1" applyBorder="1"/>
    <xf numFmtId="164" fontId="4" fillId="0" borderId="15" xfId="1" applyNumberFormat="1" applyFont="1" applyBorder="1"/>
    <xf numFmtId="0" fontId="3" fillId="0" borderId="17" xfId="0" applyFont="1" applyBorder="1"/>
    <xf numFmtId="168" fontId="3" fillId="0" borderId="17" xfId="1" applyNumberFormat="1" applyFont="1" applyBorder="1"/>
    <xf numFmtId="168" fontId="3" fillId="0" borderId="18" xfId="1" applyNumberFormat="1" applyFont="1" applyBorder="1"/>
    <xf numFmtId="167" fontId="2" fillId="0" borderId="15" xfId="1" applyNumberFormat="1" applyFont="1" applyBorder="1"/>
    <xf numFmtId="169" fontId="2" fillId="0" borderId="15" xfId="1" applyNumberFormat="1" applyFont="1" applyBorder="1"/>
    <xf numFmtId="168" fontId="4" fillId="0" borderId="3" xfId="1" applyNumberFormat="1" applyFont="1" applyBorder="1"/>
    <xf numFmtId="168" fontId="4" fillId="0" borderId="15" xfId="1" applyNumberFormat="1" applyFont="1" applyBorder="1"/>
    <xf numFmtId="171" fontId="2" fillId="0" borderId="0" xfId="0" applyNumberFormat="1" applyFont="1"/>
    <xf numFmtId="1" fontId="4" fillId="0" borderId="3" xfId="1" applyNumberFormat="1" applyFont="1" applyBorder="1"/>
    <xf numFmtId="1" fontId="2" fillId="0" borderId="15" xfId="1" applyNumberFormat="1" applyFont="1" applyBorder="1"/>
    <xf numFmtId="172" fontId="2" fillId="0" borderId="3" xfId="1" applyNumberFormat="1" applyFont="1" applyBorder="1"/>
    <xf numFmtId="170" fontId="3" fillId="0" borderId="17" xfId="1" applyNumberFormat="1" applyFont="1" applyBorder="1"/>
    <xf numFmtId="1" fontId="4" fillId="0" borderId="15" xfId="1" applyNumberFormat="1" applyFont="1" applyBorder="1"/>
    <xf numFmtId="170" fontId="3" fillId="0" borderId="18" xfId="1" applyNumberFormat="1" applyFont="1" applyBorder="1"/>
    <xf numFmtId="173" fontId="4" fillId="0" borderId="3" xfId="1" applyNumberFormat="1" applyFont="1" applyBorder="1"/>
    <xf numFmtId="173" fontId="2" fillId="0" borderId="3" xfId="1" applyNumberFormat="1" applyFont="1" applyBorder="1"/>
    <xf numFmtId="0" fontId="0" fillId="0" borderId="3" xfId="0" applyBorder="1"/>
    <xf numFmtId="0" fontId="2" fillId="0" borderId="19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1" fontId="2" fillId="0" borderId="25" xfId="0" applyNumberFormat="1" applyFont="1" applyBorder="1"/>
    <xf numFmtId="0" fontId="0" fillId="0" borderId="0" xfId="0" applyBorder="1"/>
    <xf numFmtId="165" fontId="2" fillId="0" borderId="25" xfId="0" applyNumberFormat="1" applyFont="1" applyBorder="1"/>
    <xf numFmtId="168" fontId="2" fillId="0" borderId="15" xfId="1" applyNumberFormat="1" applyFont="1" applyBorder="1"/>
    <xf numFmtId="0" fontId="3" fillId="0" borderId="26" xfId="0" applyFont="1" applyBorder="1"/>
    <xf numFmtId="170" fontId="4" fillId="0" borderId="3" xfId="1" applyNumberFormat="1" applyFont="1" applyBorder="1"/>
    <xf numFmtId="170" fontId="2" fillId="0" borderId="3" xfId="1" applyNumberFormat="1" applyFont="1" applyBorder="1"/>
    <xf numFmtId="172" fontId="4" fillId="0" borderId="3" xfId="1" applyNumberFormat="1" applyFont="1" applyBorder="1"/>
    <xf numFmtId="170" fontId="5" fillId="0" borderId="0" xfId="0" applyNumberFormat="1" applyFont="1"/>
    <xf numFmtId="2" fontId="0" fillId="0" borderId="0" xfId="0" applyNumberFormat="1"/>
    <xf numFmtId="1" fontId="0" fillId="0" borderId="0" xfId="0" applyNumberFormat="1"/>
    <xf numFmtId="0" fontId="5" fillId="0" borderId="0" xfId="0" applyFont="1"/>
    <xf numFmtId="165" fontId="2" fillId="0" borderId="27" xfId="1" applyFont="1" applyBorder="1" applyAlignment="1">
      <alignment vertical="center"/>
    </xf>
    <xf numFmtId="1" fontId="2" fillId="0" borderId="4" xfId="1" applyNumberFormat="1" applyFont="1" applyBorder="1"/>
    <xf numFmtId="1" fontId="4" fillId="0" borderId="4" xfId="1" applyNumberFormat="1" applyFont="1" applyBorder="1"/>
    <xf numFmtId="164" fontId="4" fillId="0" borderId="4" xfId="1" applyNumberFormat="1" applyFont="1" applyBorder="1"/>
    <xf numFmtId="168" fontId="2" fillId="0" borderId="4" xfId="1" applyNumberFormat="1" applyFont="1" applyBorder="1"/>
    <xf numFmtId="166" fontId="4" fillId="0" borderId="4" xfId="1" applyNumberFormat="1" applyFont="1" applyBorder="1"/>
    <xf numFmtId="170" fontId="3" fillId="0" borderId="28" xfId="1" applyNumberFormat="1" applyFont="1" applyBorder="1"/>
    <xf numFmtId="0" fontId="6" fillId="0" borderId="0" xfId="0" applyFont="1"/>
    <xf numFmtId="170" fontId="6" fillId="0" borderId="0" xfId="0" applyNumberFormat="1" applyFont="1"/>
    <xf numFmtId="3" fontId="2" fillId="0" borderId="0" xfId="0" applyNumberFormat="1" applyFont="1"/>
    <xf numFmtId="3" fontId="2" fillId="0" borderId="10" xfId="1" applyNumberFormat="1" applyFont="1" applyBorder="1" applyAlignment="1">
      <alignment vertical="center"/>
    </xf>
    <xf numFmtId="3" fontId="2" fillId="0" borderId="3" xfId="1" applyNumberFormat="1" applyFont="1" applyBorder="1"/>
    <xf numFmtId="3" fontId="3" fillId="0" borderId="17" xfId="1" applyNumberFormat="1" applyFont="1" applyBorder="1"/>
    <xf numFmtId="3" fontId="0" fillId="0" borderId="0" xfId="0" applyNumberFormat="1"/>
    <xf numFmtId="3" fontId="4" fillId="0" borderId="3" xfId="1" applyNumberFormat="1" applyFont="1" applyBorder="1"/>
    <xf numFmtId="174" fontId="2" fillId="0" borderId="3" xfId="1" applyNumberFormat="1" applyFont="1" applyBorder="1"/>
    <xf numFmtId="0" fontId="2" fillId="0" borderId="29" xfId="0" applyFont="1" applyBorder="1" applyAlignment="1">
      <alignment vertical="center" wrapText="1"/>
    </xf>
    <xf numFmtId="1" fontId="2" fillId="0" borderId="6" xfId="0" applyNumberFormat="1" applyFont="1" applyBorder="1"/>
    <xf numFmtId="165" fontId="2" fillId="0" borderId="6" xfId="0" applyNumberFormat="1" applyFont="1" applyBorder="1"/>
    <xf numFmtId="0" fontId="3" fillId="0" borderId="30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/>
    <xf numFmtId="0" fontId="0" fillId="0" borderId="16" xfId="0" applyBorder="1" applyAlignment="1"/>
    <xf numFmtId="0" fontId="2" fillId="0" borderId="13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1" xfId="0" applyBorder="1" applyAlignment="1"/>
    <xf numFmtId="0" fontId="0" fillId="0" borderId="22" xfId="0" applyBorder="1" applyAlignment="1"/>
    <xf numFmtId="0" fontId="2" fillId="0" borderId="24" xfId="0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pane ySplit="3" topLeftCell="A4" activePane="bottomLeft" state="frozen"/>
      <selection activeCell="B1" sqref="B1"/>
      <selection pane="bottomLeft" activeCell="E22" sqref="A15:E22"/>
    </sheetView>
  </sheetViews>
  <sheetFormatPr defaultColWidth="9.140625" defaultRowHeight="22.5" customHeight="1" x14ac:dyDescent="0.25"/>
  <cols>
    <col min="1" max="1" width="15.42578125" style="1" customWidth="1"/>
    <col min="2" max="2" width="11" style="1" customWidth="1"/>
    <col min="3" max="3" width="14.28515625" style="1" customWidth="1"/>
    <col min="4" max="14" width="13" style="1" customWidth="1"/>
    <col min="15" max="16384" width="9.140625" style="1"/>
  </cols>
  <sheetData>
    <row r="2" spans="1:14" ht="42.75" customHeight="1" x14ac:dyDescent="0.25">
      <c r="A2" s="77" t="s">
        <v>23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s="7" customFormat="1" ht="33" customHeight="1" x14ac:dyDescent="0.25">
      <c r="A3" s="2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</row>
    <row r="4" spans="1:14" ht="22.5" customHeight="1" x14ac:dyDescent="0.25">
      <c r="A4" s="78" t="s">
        <v>22</v>
      </c>
      <c r="B4" s="81" t="s">
        <v>19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ht="22.5" customHeight="1" x14ac:dyDescent="0.25">
      <c r="A5" s="79"/>
      <c r="B5" s="9" t="s">
        <v>14</v>
      </c>
      <c r="C5" s="10">
        <v>2938003</v>
      </c>
      <c r="D5" s="10">
        <v>2572276</v>
      </c>
      <c r="E5" s="10">
        <v>2775126</v>
      </c>
      <c r="F5" s="10">
        <v>1859499</v>
      </c>
      <c r="G5" s="10">
        <v>1497274</v>
      </c>
      <c r="H5" s="10">
        <v>1385887.0000000002</v>
      </c>
      <c r="I5" s="10">
        <v>1595526.9999999998</v>
      </c>
      <c r="J5" s="10">
        <v>1569434</v>
      </c>
      <c r="K5" s="10">
        <v>1469343</v>
      </c>
      <c r="L5" s="10">
        <v>1877263</v>
      </c>
      <c r="M5" s="10">
        <v>1779473.0000000002</v>
      </c>
      <c r="N5" s="10">
        <v>2344690</v>
      </c>
    </row>
    <row r="6" spans="1:14" ht="22.5" customHeight="1" x14ac:dyDescent="0.25">
      <c r="A6" s="79"/>
      <c r="B6" s="9" t="s">
        <v>16</v>
      </c>
      <c r="C6" s="10">
        <v>1250107</v>
      </c>
      <c r="D6" s="10">
        <v>1144566.9999999998</v>
      </c>
      <c r="E6" s="10">
        <v>963700</v>
      </c>
      <c r="F6" s="10">
        <v>1062605</v>
      </c>
      <c r="G6" s="10">
        <v>535311</v>
      </c>
      <c r="H6" s="10">
        <v>381545</v>
      </c>
      <c r="I6" s="10">
        <v>363336</v>
      </c>
      <c r="J6" s="10">
        <v>436800</v>
      </c>
      <c r="K6" s="10">
        <v>592219.99999999988</v>
      </c>
      <c r="L6" s="10">
        <v>774151.00000000012</v>
      </c>
      <c r="M6" s="10">
        <v>966939</v>
      </c>
      <c r="N6" s="10">
        <v>1002817.0000000001</v>
      </c>
    </row>
    <row r="7" spans="1:14" ht="22.5" customHeight="1" x14ac:dyDescent="0.25">
      <c r="A7" s="79"/>
      <c r="B7" s="9" t="s">
        <v>17</v>
      </c>
      <c r="C7" s="10">
        <v>34575</v>
      </c>
      <c r="D7" s="10">
        <v>33217.000000000007</v>
      </c>
      <c r="E7" s="10">
        <v>34130</v>
      </c>
      <c r="F7" s="10">
        <v>29461.000000000004</v>
      </c>
      <c r="G7" s="10">
        <v>20369.999999999996</v>
      </c>
      <c r="H7" s="10">
        <v>19183</v>
      </c>
      <c r="I7" s="10">
        <v>16779</v>
      </c>
      <c r="J7" s="10">
        <v>16430</v>
      </c>
      <c r="K7" s="10">
        <v>17320</v>
      </c>
      <c r="L7" s="10">
        <v>19994.999999999996</v>
      </c>
      <c r="M7" s="10">
        <v>26133</v>
      </c>
      <c r="N7" s="10">
        <v>26370</v>
      </c>
    </row>
    <row r="8" spans="1:14" ht="22.5" customHeight="1" x14ac:dyDescent="0.25">
      <c r="A8" s="79"/>
      <c r="B8" s="84" t="s">
        <v>20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6"/>
    </row>
    <row r="9" spans="1:14" ht="22.5" customHeight="1" x14ac:dyDescent="0.25">
      <c r="A9" s="79"/>
      <c r="B9" s="9" t="s">
        <v>14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22.5" customHeight="1" x14ac:dyDescent="0.25">
      <c r="A10" s="79"/>
      <c r="B10" s="9" t="s">
        <v>15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22.5" customHeight="1" x14ac:dyDescent="0.25">
      <c r="A11" s="79"/>
      <c r="B11" s="9" t="s">
        <v>16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22.5" customHeight="1" x14ac:dyDescent="0.25">
      <c r="A12" s="79"/>
      <c r="B12" s="9" t="s">
        <v>17</v>
      </c>
      <c r="C12" s="10">
        <v>4715</v>
      </c>
      <c r="D12" s="10">
        <v>3654</v>
      </c>
      <c r="E12" s="10">
        <v>4226</v>
      </c>
      <c r="F12" s="10">
        <v>3889.0000000000005</v>
      </c>
      <c r="G12" s="10">
        <v>3941</v>
      </c>
      <c r="H12" s="10">
        <v>3494</v>
      </c>
      <c r="I12" s="10">
        <v>2647.0000000000005</v>
      </c>
      <c r="J12" s="10">
        <v>2788.9999999999995</v>
      </c>
      <c r="K12" s="10">
        <v>4335.9999999999991</v>
      </c>
      <c r="L12" s="10">
        <v>6074.9999999999991</v>
      </c>
      <c r="M12" s="10">
        <v>3885</v>
      </c>
      <c r="N12" s="10">
        <v>3707.9999999999995</v>
      </c>
    </row>
    <row r="13" spans="1:14" ht="22.5" customHeight="1" x14ac:dyDescent="0.25">
      <c r="A13" s="80"/>
      <c r="B13" s="11" t="s">
        <v>18</v>
      </c>
      <c r="C13" s="12">
        <f t="shared" ref="C13:N13" si="0">SUM(C5:C7,C9:C12)</f>
        <v>4227400</v>
      </c>
      <c r="D13" s="12">
        <f t="shared" si="0"/>
        <v>3753714</v>
      </c>
      <c r="E13" s="12">
        <f t="shared" si="0"/>
        <v>3777182</v>
      </c>
      <c r="F13" s="12">
        <f t="shared" si="0"/>
        <v>2955454</v>
      </c>
      <c r="G13" s="12">
        <f t="shared" si="0"/>
        <v>2056896</v>
      </c>
      <c r="H13" s="12">
        <f t="shared" si="0"/>
        <v>1790109.0000000002</v>
      </c>
      <c r="I13" s="12">
        <f t="shared" si="0"/>
        <v>1978288.9999999998</v>
      </c>
      <c r="J13" s="12">
        <f t="shared" si="0"/>
        <v>2025453</v>
      </c>
      <c r="K13" s="12">
        <f t="shared" si="0"/>
        <v>2083219</v>
      </c>
      <c r="L13" s="12">
        <f t="shared" si="0"/>
        <v>2677484</v>
      </c>
      <c r="M13" s="12">
        <f t="shared" si="0"/>
        <v>2776430</v>
      </c>
      <c r="N13" s="12">
        <f t="shared" si="0"/>
        <v>3377585</v>
      </c>
    </row>
  </sheetData>
  <mergeCells count="4">
    <mergeCell ref="A2:N2"/>
    <mergeCell ref="A4:A13"/>
    <mergeCell ref="B4:N4"/>
    <mergeCell ref="B8:N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T5" sqref="AT5"/>
    </sheetView>
  </sheetViews>
  <sheetFormatPr defaultRowHeight="15" x14ac:dyDescent="0.25"/>
  <cols>
    <col min="1" max="1" width="16.85546875" customWidth="1"/>
    <col min="2" max="2" width="11.42578125" customWidth="1"/>
    <col min="3" max="3" width="15.42578125" hidden="1" customWidth="1"/>
    <col min="4" max="4" width="14.5703125" customWidth="1"/>
    <col min="5" max="6" width="18.140625" hidden="1" customWidth="1"/>
    <col min="7" max="7" width="15.5703125" customWidth="1"/>
    <col min="8" max="9" width="19.28515625" hidden="1" customWidth="1"/>
    <col min="10" max="10" width="13.42578125" customWidth="1"/>
    <col min="11" max="12" width="16.85546875" hidden="1" customWidth="1"/>
    <col min="13" max="13" width="16.140625" customWidth="1"/>
    <col min="14" max="16" width="19.28515625" hidden="1" customWidth="1"/>
    <col min="17" max="17" width="14.85546875" customWidth="1"/>
    <col min="18" max="20" width="18.7109375" hidden="1" customWidth="1"/>
    <col min="21" max="21" width="13.28515625" customWidth="1"/>
    <col min="22" max="24" width="16.85546875" hidden="1" customWidth="1"/>
    <col min="25" max="25" width="13.85546875" style="70" customWidth="1"/>
    <col min="26" max="28" width="15.85546875" hidden="1" customWidth="1"/>
    <col min="29" max="29" width="10.42578125" style="70" customWidth="1"/>
    <col min="30" max="32" width="18.7109375" hidden="1" customWidth="1"/>
    <col min="33" max="33" width="10.85546875" style="70" customWidth="1"/>
    <col min="34" max="36" width="17.5703125" hidden="1" customWidth="1"/>
    <col min="37" max="37" width="10.7109375" style="70" customWidth="1"/>
    <col min="38" max="40" width="17.140625" hidden="1" customWidth="1"/>
    <col min="41" max="41" width="12.140625" style="70" customWidth="1"/>
    <col min="42" max="44" width="17.28515625" hidden="1" customWidth="1"/>
    <col min="45" max="45" width="13.85546875" customWidth="1"/>
    <col min="46" max="46" width="9.140625" style="56"/>
  </cols>
  <sheetData>
    <row r="1" spans="1:4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66"/>
      <c r="Z1" s="1"/>
      <c r="AA1" s="1"/>
      <c r="AB1" s="1"/>
      <c r="AC1" s="66"/>
      <c r="AD1" s="1"/>
      <c r="AE1" s="1"/>
      <c r="AF1" s="1"/>
      <c r="AG1" s="66"/>
      <c r="AH1" s="1"/>
      <c r="AI1" s="1"/>
      <c r="AJ1" s="1"/>
      <c r="AK1" s="66"/>
      <c r="AL1" s="1"/>
      <c r="AM1" s="1"/>
      <c r="AN1" s="1"/>
      <c r="AO1" s="66"/>
      <c r="AP1" s="1"/>
      <c r="AQ1" s="1"/>
      <c r="AR1" s="1"/>
      <c r="AS1" s="1"/>
    </row>
    <row r="2" spans="1:45" ht="15.75" thickBot="1" x14ac:dyDescent="0.3">
      <c r="A2" s="95" t="s">
        <v>38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</row>
    <row r="3" spans="1:45" ht="30" x14ac:dyDescent="0.25">
      <c r="A3" s="43" t="s">
        <v>0</v>
      </c>
      <c r="B3" s="44" t="s">
        <v>1</v>
      </c>
      <c r="C3" s="73"/>
      <c r="D3" s="21" t="s">
        <v>2</v>
      </c>
      <c r="E3" s="21"/>
      <c r="F3" s="21"/>
      <c r="G3" s="21" t="s">
        <v>3</v>
      </c>
      <c r="H3" s="21"/>
      <c r="I3" s="21"/>
      <c r="J3" s="21" t="s">
        <v>4</v>
      </c>
      <c r="K3" s="21"/>
      <c r="L3" s="21"/>
      <c r="M3" s="21" t="s">
        <v>5</v>
      </c>
      <c r="N3" s="21"/>
      <c r="O3" s="21"/>
      <c r="P3" s="21"/>
      <c r="Q3" s="21" t="s">
        <v>6</v>
      </c>
      <c r="R3" s="21"/>
      <c r="S3" s="21"/>
      <c r="T3" s="21"/>
      <c r="U3" s="21" t="s">
        <v>7</v>
      </c>
      <c r="V3" s="21"/>
      <c r="W3" s="21"/>
      <c r="X3" s="21"/>
      <c r="Y3" s="67" t="s">
        <v>8</v>
      </c>
      <c r="Z3" s="21"/>
      <c r="AA3" s="21"/>
      <c r="AB3" s="21"/>
      <c r="AC3" s="67" t="s">
        <v>9</v>
      </c>
      <c r="AD3" s="21"/>
      <c r="AE3" s="21"/>
      <c r="AF3" s="21"/>
      <c r="AG3" s="67" t="s">
        <v>10</v>
      </c>
      <c r="AH3" s="21"/>
      <c r="AI3" s="21"/>
      <c r="AJ3" s="21"/>
      <c r="AK3" s="67" t="s">
        <v>11</v>
      </c>
      <c r="AL3" s="21"/>
      <c r="AM3" s="21"/>
      <c r="AN3" s="21"/>
      <c r="AO3" s="67" t="s">
        <v>12</v>
      </c>
      <c r="AP3" s="57"/>
      <c r="AQ3" s="57"/>
      <c r="AR3" s="57"/>
      <c r="AS3" s="22" t="s">
        <v>13</v>
      </c>
    </row>
    <row r="4" spans="1:45" x14ac:dyDescent="0.25">
      <c r="A4" s="97" t="s">
        <v>29</v>
      </c>
      <c r="B4" s="101" t="s">
        <v>34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91"/>
    </row>
    <row r="5" spans="1:45" x14ac:dyDescent="0.25">
      <c r="A5" s="98"/>
      <c r="B5" s="45" t="s">
        <v>14</v>
      </c>
      <c r="C5" s="74">
        <v>1.2143717561279801</v>
      </c>
      <c r="D5" s="50">
        <f>1502215+1780094</f>
        <v>3282309</v>
      </c>
      <c r="E5" s="50"/>
      <c r="F5" s="50">
        <v>0.90759870197544579</v>
      </c>
      <c r="G5" s="50">
        <f>1240040+1296509</f>
        <v>2536549</v>
      </c>
      <c r="H5" s="50"/>
      <c r="I5" s="50">
        <v>0.84173166853347925</v>
      </c>
      <c r="J5" s="50">
        <f>1361344+1274817</f>
        <v>2636161</v>
      </c>
      <c r="K5" s="50"/>
      <c r="L5" s="50">
        <v>0.81427362995778763</v>
      </c>
      <c r="M5" s="50">
        <f>1156202+1098794</f>
        <v>2254996</v>
      </c>
      <c r="N5" s="50"/>
      <c r="O5" s="50"/>
      <c r="P5" s="50">
        <v>0.90515484865648821</v>
      </c>
      <c r="Q5" s="50">
        <f>1316053+873165</f>
        <v>2189218</v>
      </c>
      <c r="R5" s="50"/>
      <c r="S5" s="50"/>
      <c r="T5" s="50">
        <v>0.99338769320737286</v>
      </c>
      <c r="U5" s="50">
        <f>1261606+768232</f>
        <v>2029838</v>
      </c>
      <c r="V5" s="50"/>
      <c r="W5" s="50"/>
      <c r="X5" s="50">
        <v>1.0418791139444319</v>
      </c>
      <c r="Y5" s="50">
        <v>2038157</v>
      </c>
      <c r="Z5" s="10"/>
      <c r="AA5" s="10"/>
      <c r="AB5" s="10">
        <v>0.96320576951753489</v>
      </c>
      <c r="AC5" s="68">
        <f>6143+702698+92938+4397+1367681</f>
        <v>2173857</v>
      </c>
      <c r="AD5" s="10"/>
      <c r="AE5" s="10"/>
      <c r="AF5" s="10">
        <v>0.98426128175103589</v>
      </c>
      <c r="AG5" s="68">
        <v>2103506</v>
      </c>
      <c r="AH5" s="10"/>
      <c r="AI5" s="10"/>
      <c r="AJ5" s="10">
        <v>1.1070710144289257</v>
      </c>
      <c r="AK5" s="68">
        <f>1082266+17576+859766+140917+7118</f>
        <v>2107643</v>
      </c>
      <c r="AL5" s="10"/>
      <c r="AM5" s="10"/>
      <c r="AN5" s="10">
        <v>1.1323305582564651</v>
      </c>
      <c r="AO5" s="68">
        <f>1330534+20671+990822+180681+12803</f>
        <v>2535511</v>
      </c>
      <c r="AP5" s="58"/>
      <c r="AQ5" s="58"/>
      <c r="AR5" s="58">
        <v>1.5786363619772086</v>
      </c>
      <c r="AS5" s="68">
        <f>1868815+26008+1626473+223999+13618</f>
        <v>3758913</v>
      </c>
    </row>
    <row r="6" spans="1:45" x14ac:dyDescent="0.25">
      <c r="A6" s="98"/>
      <c r="B6" s="45" t="s">
        <v>16</v>
      </c>
      <c r="C6" s="74">
        <v>1.0325297259808879</v>
      </c>
      <c r="D6" s="50">
        <v>774672</v>
      </c>
      <c r="E6" s="50"/>
      <c r="F6" s="50">
        <v>0.96373480807801859</v>
      </c>
      <c r="G6" s="50">
        <v>611458</v>
      </c>
      <c r="H6" s="50"/>
      <c r="I6" s="50">
        <v>0.95732750508454001</v>
      </c>
      <c r="J6" s="50">
        <v>774577</v>
      </c>
      <c r="K6" s="50"/>
      <c r="L6" s="50">
        <v>0.73224416594476882</v>
      </c>
      <c r="M6" s="50">
        <v>586386</v>
      </c>
      <c r="N6" s="50"/>
      <c r="O6" s="50"/>
      <c r="P6" s="50">
        <v>0.75486901635823211</v>
      </c>
      <c r="Q6" s="50">
        <v>420338</v>
      </c>
      <c r="R6" s="50"/>
      <c r="S6" s="50"/>
      <c r="T6" s="50">
        <v>0.72732237427834534</v>
      </c>
      <c r="U6" s="50">
        <v>297316</v>
      </c>
      <c r="V6" s="50"/>
      <c r="W6" s="50"/>
      <c r="X6" s="50">
        <v>1.0749723948638672</v>
      </c>
      <c r="Y6" s="50">
        <v>330475</v>
      </c>
      <c r="Z6" s="10"/>
      <c r="AA6" s="10"/>
      <c r="AB6" s="10">
        <v>1.0313323589662318</v>
      </c>
      <c r="AC6" s="68">
        <f>258422+60405</f>
        <v>318827</v>
      </c>
      <c r="AD6" s="10"/>
      <c r="AE6" s="10"/>
      <c r="AF6" s="10">
        <v>1.2129393016704135</v>
      </c>
      <c r="AG6" s="68">
        <f>293739+66070</f>
        <v>359809</v>
      </c>
      <c r="AH6" s="10"/>
      <c r="AI6" s="10"/>
      <c r="AJ6" s="10">
        <v>1.3480347879945289</v>
      </c>
      <c r="AK6" s="68">
        <f>373678+89621</f>
        <v>463299</v>
      </c>
      <c r="AL6" s="10"/>
      <c r="AM6" s="10"/>
      <c r="AN6" s="10">
        <v>1.1211013166024173</v>
      </c>
      <c r="AO6" s="68">
        <f>505107+123602</f>
        <v>628709</v>
      </c>
      <c r="AP6" s="58"/>
      <c r="AQ6" s="58"/>
      <c r="AR6" s="58">
        <v>1.5419766272152606</v>
      </c>
      <c r="AS6" s="68">
        <f>742102+161140</f>
        <v>903242</v>
      </c>
    </row>
    <row r="7" spans="1:45" x14ac:dyDescent="0.25">
      <c r="A7" s="98"/>
      <c r="B7" s="45" t="s">
        <v>17</v>
      </c>
      <c r="C7" s="74">
        <v>0.91466405100539483</v>
      </c>
      <c r="D7" s="50">
        <v>20245</v>
      </c>
      <c r="E7" s="50"/>
      <c r="F7" s="50">
        <v>0.81204372035471228</v>
      </c>
      <c r="G7" s="50">
        <v>18025</v>
      </c>
      <c r="H7" s="50"/>
      <c r="I7" s="50">
        <v>1.0076188541243396</v>
      </c>
      <c r="J7" s="50">
        <v>17325</v>
      </c>
      <c r="K7" s="50"/>
      <c r="L7" s="50">
        <v>0.83390462748260918</v>
      </c>
      <c r="M7" s="50">
        <v>12592</v>
      </c>
      <c r="N7" s="50"/>
      <c r="O7" s="50"/>
      <c r="P7" s="50">
        <v>0.85981986338632654</v>
      </c>
      <c r="Q7" s="50">
        <v>11707</v>
      </c>
      <c r="R7" s="50"/>
      <c r="S7" s="50"/>
      <c r="T7" s="50">
        <v>0.79766591676040499</v>
      </c>
      <c r="U7" s="50">
        <v>8961</v>
      </c>
      <c r="V7" s="50"/>
      <c r="W7" s="50"/>
      <c r="X7" s="50">
        <v>1.0988894764674775</v>
      </c>
      <c r="Y7" s="50">
        <v>9246</v>
      </c>
      <c r="Z7" s="10"/>
      <c r="AA7" s="10"/>
      <c r="AB7" s="10">
        <v>0.99823548283606034</v>
      </c>
      <c r="AC7" s="68">
        <v>8430</v>
      </c>
      <c r="AD7" s="10"/>
      <c r="AE7" s="10"/>
      <c r="AF7" s="10">
        <v>0.98618029889121006</v>
      </c>
      <c r="AG7" s="68">
        <v>12307</v>
      </c>
      <c r="AH7" s="10"/>
      <c r="AI7" s="10"/>
      <c r="AJ7" s="10">
        <v>1.0286785074140459</v>
      </c>
      <c r="AK7" s="68">
        <v>10583</v>
      </c>
      <c r="AL7" s="10"/>
      <c r="AM7" s="10"/>
      <c r="AN7" s="10">
        <v>1.1421669570727071</v>
      </c>
      <c r="AO7" s="68">
        <v>12341</v>
      </c>
      <c r="AP7" s="58"/>
      <c r="AQ7" s="58"/>
      <c r="AR7" s="58">
        <v>1.2337563275778378</v>
      </c>
      <c r="AS7" s="68">
        <v>16818</v>
      </c>
    </row>
    <row r="8" spans="1:45" x14ac:dyDescent="0.25">
      <c r="A8" s="98"/>
      <c r="B8" s="102" t="s">
        <v>35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96"/>
    </row>
    <row r="9" spans="1:45" x14ac:dyDescent="0.25">
      <c r="A9" s="98"/>
      <c r="B9" s="45" t="s">
        <v>14</v>
      </c>
      <c r="C9" s="74">
        <v>0.93099560266095394</v>
      </c>
      <c r="D9" s="50">
        <v>8478</v>
      </c>
      <c r="E9" s="51"/>
      <c r="F9" s="51">
        <v>0.85818093738645995</v>
      </c>
      <c r="G9" s="51">
        <v>7373</v>
      </c>
      <c r="H9" s="51"/>
      <c r="I9" s="51">
        <v>1.1047135196161446</v>
      </c>
      <c r="J9" s="51">
        <v>7734</v>
      </c>
      <c r="K9" s="51"/>
      <c r="L9" s="51">
        <v>1.014052120592744</v>
      </c>
      <c r="M9" s="51">
        <v>7557</v>
      </c>
      <c r="N9" s="51"/>
      <c r="O9" s="51"/>
      <c r="P9" s="51">
        <v>1.0526581002771478</v>
      </c>
      <c r="Q9" s="51">
        <v>8101</v>
      </c>
      <c r="R9" s="51"/>
      <c r="S9" s="51"/>
      <c r="T9" s="51">
        <v>0.78913355672570606</v>
      </c>
      <c r="U9" s="51">
        <v>6605</v>
      </c>
      <c r="V9" s="51"/>
      <c r="W9" s="51"/>
      <c r="X9" s="51">
        <v>0.90157719138610859</v>
      </c>
      <c r="Y9" s="51">
        <v>5359</v>
      </c>
      <c r="Z9" s="10"/>
      <c r="AA9" s="10"/>
      <c r="AB9" s="10">
        <v>1.2037005887300252</v>
      </c>
      <c r="AC9" s="68">
        <f>4206+948+316</f>
        <v>5470</v>
      </c>
      <c r="AD9" s="10"/>
      <c r="AE9" s="10"/>
      <c r="AF9" s="10">
        <v>1.3801006148686417</v>
      </c>
      <c r="AG9" s="68">
        <v>8046</v>
      </c>
      <c r="AH9" s="10"/>
      <c r="AI9" s="10"/>
      <c r="AJ9" s="10">
        <v>0.86087484811664639</v>
      </c>
      <c r="AK9" s="68">
        <v>9313</v>
      </c>
      <c r="AL9" s="10"/>
      <c r="AM9" s="10"/>
      <c r="AN9" s="10">
        <v>0.93131027993413318</v>
      </c>
      <c r="AO9" s="68">
        <v>8148</v>
      </c>
      <c r="AP9" s="58"/>
      <c r="AQ9" s="58"/>
      <c r="AR9" s="58">
        <v>1.2465269007325082</v>
      </c>
      <c r="AS9" s="68">
        <v>8519</v>
      </c>
    </row>
    <row r="10" spans="1:45" x14ac:dyDescent="0.25">
      <c r="A10" s="98"/>
      <c r="B10" s="45" t="s">
        <v>15</v>
      </c>
      <c r="C10" s="74"/>
      <c r="D10" s="51"/>
      <c r="E10" s="51"/>
      <c r="F10" s="5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68"/>
      <c r="Z10" s="10"/>
      <c r="AA10" s="10"/>
      <c r="AB10" s="10"/>
      <c r="AC10" s="68"/>
      <c r="AD10" s="10"/>
      <c r="AE10" s="10"/>
      <c r="AF10" s="10"/>
      <c r="AG10" s="68"/>
      <c r="AH10" s="10"/>
      <c r="AI10" s="10"/>
      <c r="AJ10" s="10"/>
      <c r="AK10" s="68"/>
      <c r="AL10" s="10"/>
      <c r="AM10" s="10"/>
      <c r="AN10" s="10"/>
      <c r="AO10" s="68"/>
      <c r="AP10" s="58"/>
      <c r="AQ10" s="58"/>
      <c r="AR10" s="58"/>
      <c r="AS10" s="35"/>
    </row>
    <row r="11" spans="1:45" x14ac:dyDescent="0.25">
      <c r="A11" s="98"/>
      <c r="B11" s="45" t="s">
        <v>16</v>
      </c>
      <c r="C11" s="74"/>
      <c r="D11" s="50"/>
      <c r="E11" s="50"/>
      <c r="F11" s="50"/>
      <c r="G11" s="34"/>
      <c r="H11" s="34"/>
      <c r="I11" s="34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34"/>
      <c r="V11" s="34"/>
      <c r="W11" s="34"/>
      <c r="X11" s="34"/>
      <c r="Y11" s="68"/>
      <c r="Z11" s="10"/>
      <c r="AA11" s="10"/>
      <c r="AB11" s="10"/>
      <c r="AC11" s="71"/>
      <c r="AD11" s="34"/>
      <c r="AE11" s="34"/>
      <c r="AF11" s="34"/>
      <c r="AG11" s="71"/>
      <c r="AH11" s="34"/>
      <c r="AI11" s="34"/>
      <c r="AJ11" s="34"/>
      <c r="AK11" s="71"/>
      <c r="AL11" s="34"/>
      <c r="AM11" s="34"/>
      <c r="AN11" s="34"/>
      <c r="AO11" s="71"/>
      <c r="AP11" s="59"/>
      <c r="AQ11" s="59"/>
      <c r="AR11" s="59"/>
      <c r="AS11" s="38"/>
    </row>
    <row r="12" spans="1:45" x14ac:dyDescent="0.25">
      <c r="A12" s="98"/>
      <c r="B12" s="47" t="s">
        <v>17</v>
      </c>
      <c r="C12" s="75"/>
      <c r="D12" s="51"/>
      <c r="E12" s="51"/>
      <c r="F12" s="5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68"/>
      <c r="Z12" s="8"/>
      <c r="AA12" s="8"/>
      <c r="AB12" s="8"/>
      <c r="AC12" s="68"/>
      <c r="AD12" s="8"/>
      <c r="AE12" s="8"/>
      <c r="AF12" s="8"/>
      <c r="AG12" s="68"/>
      <c r="AH12" s="8"/>
      <c r="AI12" s="8"/>
      <c r="AJ12" s="8"/>
      <c r="AK12" s="68"/>
      <c r="AL12" s="13"/>
      <c r="AM12" s="13"/>
      <c r="AN12" s="13"/>
      <c r="AO12" s="71"/>
      <c r="AP12" s="60"/>
      <c r="AQ12" s="60"/>
      <c r="AR12" s="60"/>
      <c r="AS12" s="25"/>
    </row>
    <row r="13" spans="1:45" x14ac:dyDescent="0.25">
      <c r="A13" s="99"/>
      <c r="B13" s="101" t="s">
        <v>26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91"/>
    </row>
    <row r="14" spans="1:45" x14ac:dyDescent="0.25">
      <c r="A14" s="99"/>
      <c r="B14" s="47" t="s">
        <v>14</v>
      </c>
      <c r="C14" s="75">
        <v>1.28561872909699</v>
      </c>
      <c r="D14" s="52">
        <v>3</v>
      </c>
      <c r="E14" s="52"/>
      <c r="F14" s="52">
        <v>1.0367672563302115</v>
      </c>
      <c r="G14" s="52">
        <v>2.4220000000000002</v>
      </c>
      <c r="H14" s="52"/>
      <c r="I14" s="52">
        <v>0.69889595182335229</v>
      </c>
      <c r="J14" s="52">
        <v>2.161</v>
      </c>
      <c r="K14" s="52"/>
      <c r="L14" s="52">
        <v>0.94973671613212063</v>
      </c>
      <c r="M14" s="52">
        <v>1.98</v>
      </c>
      <c r="N14" s="52"/>
      <c r="O14" s="52"/>
      <c r="P14" s="52">
        <v>0.77217741935483875</v>
      </c>
      <c r="Q14" s="52">
        <v>1.631</v>
      </c>
      <c r="R14" s="52"/>
      <c r="S14" s="52"/>
      <c r="T14" s="52">
        <v>6.1530000000000005</v>
      </c>
      <c r="U14" s="52">
        <v>1.381</v>
      </c>
      <c r="V14" s="52"/>
      <c r="W14" s="52"/>
      <c r="X14" s="52">
        <v>0.98450704225352126</v>
      </c>
      <c r="Y14" s="52">
        <v>1.246</v>
      </c>
      <c r="Z14" s="10"/>
      <c r="AA14" s="10"/>
      <c r="AB14" s="10">
        <v>0.95221745350500719</v>
      </c>
      <c r="AC14" s="72">
        <v>1.4419999999999999</v>
      </c>
      <c r="AD14" s="17"/>
      <c r="AE14" s="17"/>
      <c r="AF14" s="17">
        <v>0.94981971153846145</v>
      </c>
      <c r="AG14" s="72">
        <v>1.581</v>
      </c>
      <c r="AH14" s="17"/>
      <c r="AI14" s="17"/>
      <c r="AJ14" s="17">
        <v>1.053780449224929</v>
      </c>
      <c r="AK14" s="72">
        <v>1.5740000000000001</v>
      </c>
      <c r="AL14" s="17"/>
      <c r="AM14" s="17"/>
      <c r="AN14" s="17">
        <v>1.2404683278294804</v>
      </c>
      <c r="AO14" s="72">
        <v>2.113</v>
      </c>
      <c r="AP14" s="61"/>
      <c r="AQ14" s="61"/>
      <c r="AR14" s="61">
        <v>1.4891093901258472</v>
      </c>
      <c r="AS14" s="72">
        <v>3.165</v>
      </c>
    </row>
    <row r="15" spans="1:45" x14ac:dyDescent="0.25">
      <c r="A15" s="99"/>
      <c r="B15" s="47" t="s">
        <v>16</v>
      </c>
      <c r="C15" s="75">
        <v>1.2340425531914894</v>
      </c>
      <c r="D15" s="52">
        <v>0.309</v>
      </c>
      <c r="E15" s="52"/>
      <c r="F15" s="52">
        <v>1.0086206896551724</v>
      </c>
      <c r="G15" s="52">
        <v>0.20499999999999999</v>
      </c>
      <c r="H15" s="52"/>
      <c r="I15" s="52">
        <v>0.7350427350427351</v>
      </c>
      <c r="J15" s="52">
        <v>0.23599999999999999</v>
      </c>
      <c r="K15" s="52"/>
      <c r="L15" s="52">
        <v>0.89922480620155043</v>
      </c>
      <c r="M15" s="52">
        <v>0.18099999999999999</v>
      </c>
      <c r="N15" s="52"/>
      <c r="O15" s="52"/>
      <c r="P15" s="52">
        <v>0.68534482758620685</v>
      </c>
      <c r="Q15" s="52">
        <v>0.185</v>
      </c>
      <c r="R15" s="52"/>
      <c r="S15" s="52"/>
      <c r="T15" s="52">
        <v>0.40600000000000003</v>
      </c>
      <c r="U15" s="52">
        <v>0.112</v>
      </c>
      <c r="V15" s="52"/>
      <c r="W15" s="52"/>
      <c r="X15" s="52">
        <v>0.98230088495575218</v>
      </c>
      <c r="Y15" s="52">
        <v>0.104</v>
      </c>
      <c r="Z15" s="10"/>
      <c r="AA15" s="10"/>
      <c r="AB15" s="10">
        <v>1.4054054054054055</v>
      </c>
      <c r="AC15" s="72">
        <v>0.105</v>
      </c>
      <c r="AD15" s="17"/>
      <c r="AE15" s="17"/>
      <c r="AF15" s="17">
        <v>1.1217948717948718</v>
      </c>
      <c r="AG15" s="72">
        <v>0.107</v>
      </c>
      <c r="AH15" s="17"/>
      <c r="AI15" s="17"/>
      <c r="AJ15" s="17">
        <v>1.1828571428571428</v>
      </c>
      <c r="AK15" s="72">
        <v>0.153</v>
      </c>
      <c r="AL15" s="17"/>
      <c r="AM15" s="17"/>
      <c r="AN15" s="17">
        <v>1.2463768115942031</v>
      </c>
      <c r="AO15" s="72">
        <v>0.20399999999999999</v>
      </c>
      <c r="AP15" s="61"/>
      <c r="AQ15" s="61"/>
      <c r="AR15" s="61">
        <v>1.5736434108527133</v>
      </c>
      <c r="AS15" s="72">
        <v>0.25700000000000001</v>
      </c>
    </row>
    <row r="16" spans="1:45" x14ac:dyDescent="0.25">
      <c r="A16" s="99"/>
      <c r="B16" s="47" t="s">
        <v>17</v>
      </c>
      <c r="C16" s="75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68"/>
      <c r="Z16" s="8"/>
      <c r="AA16" s="8"/>
      <c r="AB16" s="8"/>
      <c r="AC16" s="68"/>
      <c r="AD16" s="8"/>
      <c r="AE16" s="8"/>
      <c r="AF16" s="8"/>
      <c r="AG16" s="68"/>
      <c r="AH16" s="8"/>
      <c r="AI16" s="8"/>
      <c r="AJ16" s="8"/>
      <c r="AK16" s="68"/>
      <c r="AL16" s="8"/>
      <c r="AM16" s="8"/>
      <c r="AN16" s="8"/>
      <c r="AO16" s="71"/>
      <c r="AP16" s="62"/>
      <c r="AQ16" s="62"/>
      <c r="AR16" s="62"/>
      <c r="AS16" s="23"/>
    </row>
    <row r="17" spans="1:45" ht="15.75" thickBot="1" x14ac:dyDescent="0.3">
      <c r="A17" s="100"/>
      <c r="B17" s="49" t="s">
        <v>18</v>
      </c>
      <c r="C17" s="76"/>
      <c r="D17" s="37">
        <f>SUM(D5:D12)</f>
        <v>4085704</v>
      </c>
      <c r="E17" s="37"/>
      <c r="F17" s="37"/>
      <c r="G17" s="37">
        <f>SUM(G5:G12)</f>
        <v>3173405</v>
      </c>
      <c r="H17" s="37"/>
      <c r="I17" s="37"/>
      <c r="J17" s="37">
        <f>SUM(J5:J12)</f>
        <v>3435797</v>
      </c>
      <c r="K17" s="37"/>
      <c r="L17" s="37"/>
      <c r="M17" s="37">
        <f>SUM(M5:M12)</f>
        <v>2861531</v>
      </c>
      <c r="N17" s="37"/>
      <c r="O17" s="37"/>
      <c r="P17" s="37"/>
      <c r="Q17" s="37">
        <f t="shared" ref="Q17:AO17" si="0">SUM(Q5:Q12)</f>
        <v>2629364</v>
      </c>
      <c r="R17" s="37"/>
      <c r="S17" s="37"/>
      <c r="T17" s="37"/>
      <c r="U17" s="37">
        <f t="shared" si="0"/>
        <v>2342720</v>
      </c>
      <c r="V17" s="37"/>
      <c r="W17" s="37"/>
      <c r="X17" s="37"/>
      <c r="Y17" s="69">
        <f>SUM(Y5:Y12)</f>
        <v>2383237</v>
      </c>
      <c r="Z17" s="37"/>
      <c r="AA17" s="37"/>
      <c r="AB17" s="37"/>
      <c r="AC17" s="69">
        <f>SUM(AC5:AC12)</f>
        <v>2506584</v>
      </c>
      <c r="AD17" s="37"/>
      <c r="AE17" s="37"/>
      <c r="AF17" s="37"/>
      <c r="AG17" s="69">
        <f>SUM(AG5:AG12)</f>
        <v>2483668</v>
      </c>
      <c r="AH17" s="37"/>
      <c r="AI17" s="37"/>
      <c r="AJ17" s="37"/>
      <c r="AK17" s="69">
        <f t="shared" si="0"/>
        <v>2590838</v>
      </c>
      <c r="AL17" s="37"/>
      <c r="AM17" s="37"/>
      <c r="AN17" s="37"/>
      <c r="AO17" s="69">
        <f t="shared" si="0"/>
        <v>3184709</v>
      </c>
      <c r="AP17" s="63"/>
      <c r="AQ17" s="63"/>
      <c r="AR17" s="63"/>
      <c r="AS17" s="39">
        <f>SUM(AS5:AS12)</f>
        <v>4687492</v>
      </c>
    </row>
    <row r="21" spans="1:45" x14ac:dyDescent="0.25">
      <c r="J21" s="55"/>
      <c r="K21" s="55"/>
      <c r="L21" s="55"/>
      <c r="M21" s="54"/>
      <c r="N21" s="54"/>
      <c r="O21" s="54"/>
      <c r="P21" s="54"/>
      <c r="Q21" s="54"/>
      <c r="R21" s="54"/>
      <c r="S21" s="54"/>
      <c r="T21" s="54"/>
    </row>
    <row r="22" spans="1:45" x14ac:dyDescent="0.25">
      <c r="J22" s="55"/>
      <c r="K22" s="55"/>
      <c r="L22" s="55"/>
      <c r="M22" s="54"/>
      <c r="N22" s="54"/>
      <c r="O22" s="54"/>
      <c r="P22" s="54"/>
      <c r="Q22" s="54"/>
      <c r="R22" s="54"/>
      <c r="S22" s="54"/>
      <c r="T22" s="54"/>
    </row>
    <row r="23" spans="1:45" x14ac:dyDescent="0.25">
      <c r="J23" s="55"/>
      <c r="K23" s="55"/>
      <c r="L23" s="55"/>
      <c r="M23" s="54"/>
      <c r="N23" s="54"/>
      <c r="O23" s="54"/>
      <c r="P23" s="54"/>
      <c r="Q23" s="54"/>
      <c r="R23" s="54"/>
      <c r="S23" s="54"/>
      <c r="T23" s="54"/>
    </row>
    <row r="24" spans="1:45" x14ac:dyDescent="0.25">
      <c r="J24" s="55"/>
      <c r="K24" s="55"/>
      <c r="L24" s="55"/>
      <c r="Q24" s="54"/>
      <c r="R24" s="54"/>
      <c r="S24" s="54"/>
      <c r="T24" s="54"/>
    </row>
    <row r="25" spans="1:45" x14ac:dyDescent="0.25">
      <c r="J25" s="55"/>
      <c r="K25" s="55"/>
      <c r="L25" s="55"/>
      <c r="M25" s="54"/>
      <c r="N25" s="54"/>
      <c r="O25" s="54"/>
      <c r="P25" s="54"/>
      <c r="Q25" s="54"/>
      <c r="R25" s="54"/>
      <c r="S25" s="54"/>
      <c r="T25" s="54"/>
    </row>
    <row r="26" spans="1:45" x14ac:dyDescent="0.25">
      <c r="J26" s="55"/>
      <c r="K26" s="55"/>
      <c r="L26" s="55"/>
      <c r="M26" s="54"/>
      <c r="N26" s="54"/>
      <c r="O26" s="54"/>
      <c r="P26" s="54"/>
      <c r="Q26" s="54"/>
      <c r="R26" s="54"/>
      <c r="S26" s="54"/>
      <c r="T26" s="54"/>
    </row>
    <row r="27" spans="1:45" x14ac:dyDescent="0.25">
      <c r="J27" s="55"/>
      <c r="K27" s="55"/>
      <c r="L27" s="55"/>
      <c r="M27" s="54"/>
      <c r="N27" s="54"/>
      <c r="O27" s="54"/>
      <c r="P27" s="54"/>
      <c r="Q27" s="54"/>
      <c r="R27" s="54"/>
      <c r="S27" s="54"/>
      <c r="T27" s="54"/>
    </row>
    <row r="28" spans="1:45" x14ac:dyDescent="0.25">
      <c r="J28" s="55"/>
      <c r="K28" s="55"/>
      <c r="L28" s="55"/>
      <c r="M28" s="54"/>
      <c r="N28" s="54"/>
      <c r="O28" s="54"/>
      <c r="P28" s="54"/>
      <c r="Q28" s="54"/>
      <c r="R28" s="54"/>
      <c r="S28" s="54"/>
      <c r="T28" s="54"/>
    </row>
    <row r="29" spans="1:45" x14ac:dyDescent="0.25">
      <c r="J29" s="55"/>
      <c r="K29" s="55"/>
      <c r="L29" s="55"/>
      <c r="M29" s="54"/>
      <c r="N29" s="54"/>
      <c r="O29" s="54"/>
      <c r="P29" s="54"/>
      <c r="Q29" s="54"/>
      <c r="R29" s="54"/>
      <c r="S29" s="54"/>
      <c r="T29" s="54"/>
    </row>
    <row r="30" spans="1:45" x14ac:dyDescent="0.25">
      <c r="J30" s="55"/>
      <c r="K30" s="55"/>
      <c r="L30" s="55"/>
      <c r="M30" s="54"/>
      <c r="N30" s="54"/>
      <c r="O30" s="54"/>
      <c r="P30" s="54"/>
      <c r="Q30" s="54"/>
      <c r="R30" s="54"/>
      <c r="S30" s="54"/>
      <c r="T30" s="54"/>
    </row>
    <row r="31" spans="1:45" x14ac:dyDescent="0.25">
      <c r="J31" s="55"/>
      <c r="K31" s="55"/>
      <c r="L31" s="55"/>
      <c r="M31" s="54"/>
      <c r="N31" s="54"/>
      <c r="O31" s="54"/>
      <c r="P31" s="54"/>
      <c r="Q31" s="54"/>
      <c r="R31" s="54"/>
      <c r="S31" s="54"/>
      <c r="T31" s="54"/>
    </row>
    <row r="32" spans="1:45" x14ac:dyDescent="0.25">
      <c r="J32" s="55"/>
      <c r="K32" s="55"/>
      <c r="L32" s="55"/>
      <c r="Q32" s="54"/>
      <c r="R32" s="54"/>
      <c r="S32" s="54"/>
      <c r="T32" s="54"/>
    </row>
  </sheetData>
  <mergeCells count="5">
    <mergeCell ref="A2:AS2"/>
    <mergeCell ref="A4:A17"/>
    <mergeCell ref="B4:AS4"/>
    <mergeCell ref="B8:AS8"/>
    <mergeCell ref="B13:AS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N14" sqref="N14:N15"/>
    </sheetView>
  </sheetViews>
  <sheetFormatPr defaultRowHeight="15" x14ac:dyDescent="0.25"/>
  <cols>
    <col min="1" max="1" width="16.85546875" customWidth="1"/>
    <col min="2" max="2" width="11.42578125" customWidth="1"/>
    <col min="3" max="3" width="13.42578125" customWidth="1"/>
    <col min="4" max="4" width="13.42578125" bestFit="1" customWidth="1"/>
    <col min="5" max="5" width="13" customWidth="1"/>
    <col min="6" max="6" width="13.140625" customWidth="1"/>
    <col min="7" max="7" width="14.42578125" customWidth="1"/>
    <col min="8" max="8" width="13.140625" customWidth="1"/>
    <col min="9" max="9" width="13.5703125" style="70" customWidth="1"/>
    <col min="10" max="10" width="14.5703125" style="70" customWidth="1"/>
    <col min="11" max="11" width="14.42578125" style="70" customWidth="1"/>
    <col min="12" max="12" width="15.140625" style="70" customWidth="1"/>
    <col min="13" max="13" width="13.85546875" style="70" customWidth="1"/>
    <col min="14" max="14" width="15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66"/>
      <c r="J1" s="66"/>
      <c r="K1" s="66"/>
      <c r="L1" s="66"/>
      <c r="M1" s="66"/>
      <c r="N1" s="1"/>
    </row>
    <row r="2" spans="1:14" ht="26.25" customHeight="1" thickBot="1" x14ac:dyDescent="0.3">
      <c r="A2" s="95" t="s">
        <v>39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30" x14ac:dyDescent="0.25">
      <c r="A3" s="43" t="s">
        <v>0</v>
      </c>
      <c r="B3" s="44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67" t="s">
        <v>8</v>
      </c>
      <c r="J3" s="67" t="s">
        <v>9</v>
      </c>
      <c r="K3" s="67" t="s">
        <v>10</v>
      </c>
      <c r="L3" s="67" t="s">
        <v>11</v>
      </c>
      <c r="M3" s="67" t="s">
        <v>12</v>
      </c>
      <c r="N3" s="22" t="s">
        <v>13</v>
      </c>
    </row>
    <row r="4" spans="1:14" x14ac:dyDescent="0.25">
      <c r="A4" s="97" t="s">
        <v>29</v>
      </c>
      <c r="B4" s="101" t="s">
        <v>34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91"/>
    </row>
    <row r="5" spans="1:14" x14ac:dyDescent="0.25">
      <c r="A5" s="98"/>
      <c r="B5" s="45" t="s">
        <v>14</v>
      </c>
      <c r="C5" s="68">
        <f>1574573+23479+1239732+189901+6774</f>
        <v>3034459</v>
      </c>
      <c r="D5" s="68">
        <f>1360125+22881+1082451+159065+7843</f>
        <v>2632365</v>
      </c>
      <c r="E5" s="68">
        <f>1447262+21011+1215699+162996+12937</f>
        <v>2859905</v>
      </c>
      <c r="F5" s="68">
        <f>1240716+15559+834384+115971+7626</f>
        <v>2214256</v>
      </c>
      <c r="G5" s="50">
        <f>1366606+787764</f>
        <v>2154370</v>
      </c>
      <c r="H5" s="50">
        <f>1213803+6334+591119+74668+7536</f>
        <v>1893460</v>
      </c>
      <c r="I5" s="50">
        <f>1293746+7064+619263+78812+6401</f>
        <v>2005286</v>
      </c>
      <c r="J5" s="50">
        <f>1289331+7508+663950+85069+13372</f>
        <v>2059230</v>
      </c>
      <c r="K5" s="50">
        <f>1166607+5209+648867+90891+9119</f>
        <v>1920693</v>
      </c>
      <c r="L5" s="50">
        <f>1159574+13864+927474+123608+9402</f>
        <v>2233922</v>
      </c>
      <c r="M5" s="50">
        <f>1440924+22121+1214100+151499+20059</f>
        <v>2848703</v>
      </c>
      <c r="N5" s="50">
        <f>1657746+24131+1689147+179522+26803</f>
        <v>3577349</v>
      </c>
    </row>
    <row r="6" spans="1:14" x14ac:dyDescent="0.25">
      <c r="A6" s="98"/>
      <c r="B6" s="45" t="s">
        <v>16</v>
      </c>
      <c r="C6" s="68">
        <f>624034+124051</f>
        <v>748085</v>
      </c>
      <c r="D6" s="68">
        <f>532396+125434</f>
        <v>657830</v>
      </c>
      <c r="E6" s="50">
        <f>614165+137838</f>
        <v>752003</v>
      </c>
      <c r="F6" s="50">
        <f>392659+91591</f>
        <v>484250</v>
      </c>
      <c r="G6" s="50">
        <f>283205</f>
        <v>283205</v>
      </c>
      <c r="H6" s="50">
        <f>195039+57345</f>
        <v>252384</v>
      </c>
      <c r="I6" s="50">
        <f>222809+59575</f>
        <v>282384</v>
      </c>
      <c r="J6" s="50">
        <f>186008+57477</f>
        <v>243485</v>
      </c>
      <c r="K6" s="50">
        <f>220792+83047</f>
        <v>303839</v>
      </c>
      <c r="L6" s="50">
        <f>408547+76991</f>
        <v>485538</v>
      </c>
      <c r="M6" s="50">
        <f>534987+138916</f>
        <v>673903</v>
      </c>
      <c r="N6" s="50">
        <f>761090+174220</f>
        <v>935310</v>
      </c>
    </row>
    <row r="7" spans="1:14" x14ac:dyDescent="0.25">
      <c r="A7" s="98"/>
      <c r="B7" s="45" t="s">
        <v>17</v>
      </c>
      <c r="C7" s="68">
        <v>14809</v>
      </c>
      <c r="D7" s="68">
        <v>12644</v>
      </c>
      <c r="E7" s="50">
        <v>12677</v>
      </c>
      <c r="F7" s="50">
        <v>10081</v>
      </c>
      <c r="G7" s="50">
        <f>7771</f>
        <v>7771</v>
      </c>
      <c r="H7" s="50">
        <v>8478</v>
      </c>
      <c r="I7" s="50">
        <v>9408</v>
      </c>
      <c r="J7" s="50">
        <v>9714</v>
      </c>
      <c r="K7" s="50">
        <v>8145</v>
      </c>
      <c r="L7" s="50">
        <v>12157</v>
      </c>
      <c r="M7" s="50">
        <v>15713</v>
      </c>
      <c r="N7" s="50">
        <v>23419</v>
      </c>
    </row>
    <row r="8" spans="1:14" x14ac:dyDescent="0.25">
      <c r="A8" s="98"/>
      <c r="B8" s="102" t="s">
        <v>35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96"/>
    </row>
    <row r="9" spans="1:14" x14ac:dyDescent="0.25">
      <c r="A9" s="98"/>
      <c r="B9" s="45" t="s">
        <v>14</v>
      </c>
      <c r="C9" s="68">
        <v>8432</v>
      </c>
      <c r="D9" s="51">
        <v>8003</v>
      </c>
      <c r="E9" s="51">
        <v>8533</v>
      </c>
      <c r="F9" s="51">
        <v>7928</v>
      </c>
      <c r="G9" s="51">
        <v>7540</v>
      </c>
      <c r="H9" s="51">
        <v>6285</v>
      </c>
      <c r="I9" s="51">
        <v>5992</v>
      </c>
      <c r="J9" s="68">
        <v>6130</v>
      </c>
      <c r="K9" s="68">
        <v>6733</v>
      </c>
      <c r="L9" s="68">
        <v>10506</v>
      </c>
      <c r="M9" s="68">
        <v>9821</v>
      </c>
      <c r="N9" s="68">
        <v>10406</v>
      </c>
    </row>
    <row r="10" spans="1:14" x14ac:dyDescent="0.25">
      <c r="A10" s="98"/>
      <c r="B10" s="45" t="s">
        <v>15</v>
      </c>
      <c r="C10" s="51"/>
      <c r="D10" s="10"/>
      <c r="E10" s="10"/>
      <c r="F10" s="10"/>
      <c r="G10" s="10"/>
      <c r="H10" s="10"/>
      <c r="I10" s="68"/>
      <c r="J10" s="68"/>
      <c r="K10" s="68"/>
      <c r="L10" s="68"/>
      <c r="M10" s="68"/>
      <c r="N10" s="35"/>
    </row>
    <row r="11" spans="1:14" x14ac:dyDescent="0.25">
      <c r="A11" s="98"/>
      <c r="B11" s="45" t="s">
        <v>16</v>
      </c>
      <c r="C11" s="50"/>
      <c r="D11" s="34"/>
      <c r="E11" s="10"/>
      <c r="F11" s="10"/>
      <c r="G11" s="10"/>
      <c r="H11" s="34"/>
      <c r="I11" s="68"/>
      <c r="J11" s="71"/>
      <c r="K11" s="71"/>
      <c r="L11" s="71"/>
      <c r="M11" s="71"/>
      <c r="N11" s="38"/>
    </row>
    <row r="12" spans="1:14" x14ac:dyDescent="0.25">
      <c r="A12" s="98"/>
      <c r="B12" s="47" t="s">
        <v>17</v>
      </c>
      <c r="C12" s="51"/>
      <c r="D12" s="8"/>
      <c r="E12" s="8"/>
      <c r="F12" s="8"/>
      <c r="G12" s="8"/>
      <c r="H12" s="8"/>
      <c r="I12" s="68"/>
      <c r="J12" s="68"/>
      <c r="K12" s="68"/>
      <c r="L12" s="68"/>
      <c r="M12" s="71"/>
      <c r="N12" s="25"/>
    </row>
    <row r="13" spans="1:14" x14ac:dyDescent="0.25">
      <c r="A13" s="99"/>
      <c r="B13" s="101" t="s">
        <v>26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91"/>
    </row>
    <row r="14" spans="1:14" x14ac:dyDescent="0.25">
      <c r="A14" s="99"/>
      <c r="B14" s="47" t="s">
        <v>14</v>
      </c>
      <c r="C14" s="72">
        <v>2.5819999999999999</v>
      </c>
      <c r="D14" s="72">
        <v>2.5049999999999999</v>
      </c>
      <c r="E14" s="52">
        <v>2.3210000000000002</v>
      </c>
      <c r="F14" s="52">
        <v>1.8029999999999999</v>
      </c>
      <c r="G14" s="52">
        <v>1.484</v>
      </c>
      <c r="H14" s="52">
        <v>1.2330000000000001</v>
      </c>
      <c r="I14" s="52">
        <v>1.232</v>
      </c>
      <c r="J14" s="72">
        <v>1.4</v>
      </c>
      <c r="K14" s="72">
        <v>1.389</v>
      </c>
      <c r="L14" s="72">
        <v>1.615</v>
      </c>
      <c r="M14" s="72">
        <v>2.4630000000000001</v>
      </c>
      <c r="N14" s="72">
        <v>3.0880000000000001</v>
      </c>
    </row>
    <row r="15" spans="1:14" x14ac:dyDescent="0.25">
      <c r="A15" s="99"/>
      <c r="B15" s="47" t="s">
        <v>16</v>
      </c>
      <c r="C15" s="72">
        <v>0.192</v>
      </c>
      <c r="D15" s="72">
        <v>0.216</v>
      </c>
      <c r="E15" s="52">
        <v>0.20599999999999999</v>
      </c>
      <c r="F15" s="52">
        <v>0.15</v>
      </c>
      <c r="G15" s="52">
        <v>0.108</v>
      </c>
      <c r="H15" s="52">
        <v>8.5999999999999993E-2</v>
      </c>
      <c r="I15" s="52">
        <v>7.9000000000000001E-2</v>
      </c>
      <c r="J15" s="72">
        <v>9.6000000000000002E-2</v>
      </c>
      <c r="K15" s="72">
        <v>0.13500000000000001</v>
      </c>
      <c r="L15" s="72">
        <v>0.11700000000000001</v>
      </c>
      <c r="M15" s="72">
        <v>0.218</v>
      </c>
      <c r="N15" s="72">
        <v>0.26</v>
      </c>
    </row>
    <row r="16" spans="1:14" x14ac:dyDescent="0.25">
      <c r="A16" s="99"/>
      <c r="B16" s="47" t="s">
        <v>17</v>
      </c>
      <c r="C16" s="23"/>
      <c r="D16" s="8"/>
      <c r="E16" s="8"/>
      <c r="F16" s="8"/>
      <c r="G16" s="8"/>
      <c r="H16" s="8"/>
      <c r="I16" s="68"/>
      <c r="J16" s="68"/>
      <c r="K16" s="68"/>
      <c r="L16" s="68"/>
      <c r="M16" s="71"/>
      <c r="N16" s="23"/>
    </row>
    <row r="17" spans="1:14" ht="15.75" thickBot="1" x14ac:dyDescent="0.3">
      <c r="A17" s="100"/>
      <c r="B17" s="49" t="s">
        <v>18</v>
      </c>
      <c r="C17" s="37">
        <f>SUM(C5:C12)</f>
        <v>3805785</v>
      </c>
      <c r="D17" s="37">
        <f t="shared" ref="D17" si="0">SUM(D5:D12)</f>
        <v>3310842</v>
      </c>
      <c r="E17" s="37">
        <f>SUM(E5:E12)</f>
        <v>3633118</v>
      </c>
      <c r="F17" s="37">
        <f>SUM(F5:F12)</f>
        <v>2716515</v>
      </c>
      <c r="G17" s="37">
        <f t="shared" ref="G17:M17" si="1">SUM(G5:G12)</f>
        <v>2452886</v>
      </c>
      <c r="H17" s="37">
        <f t="shared" si="1"/>
        <v>2160607</v>
      </c>
      <c r="I17" s="37">
        <f t="shared" si="1"/>
        <v>2303070</v>
      </c>
      <c r="J17" s="37">
        <f t="shared" si="1"/>
        <v>2318559</v>
      </c>
      <c r="K17" s="37">
        <f t="shared" si="1"/>
        <v>2239410</v>
      </c>
      <c r="L17" s="37">
        <f t="shared" si="1"/>
        <v>2742123</v>
      </c>
      <c r="M17" s="37">
        <f t="shared" si="1"/>
        <v>3548140</v>
      </c>
      <c r="N17" s="39">
        <f>SUM(N5:N12)</f>
        <v>4546484</v>
      </c>
    </row>
    <row r="21" spans="1:14" x14ac:dyDescent="0.25">
      <c r="E21" s="55"/>
      <c r="F21" s="54"/>
      <c r="G21" s="54"/>
    </row>
    <row r="22" spans="1:14" x14ac:dyDescent="0.25">
      <c r="E22" s="55"/>
      <c r="F22" s="54"/>
      <c r="G22" s="54"/>
    </row>
    <row r="23" spans="1:14" x14ac:dyDescent="0.25">
      <c r="E23" s="55"/>
      <c r="F23" s="54"/>
      <c r="G23" s="54"/>
    </row>
    <row r="24" spans="1:14" x14ac:dyDescent="0.25">
      <c r="E24" s="55"/>
      <c r="G24" s="54"/>
    </row>
    <row r="25" spans="1:14" x14ac:dyDescent="0.25">
      <c r="E25" s="55"/>
      <c r="F25" s="54"/>
      <c r="G25" s="54"/>
    </row>
    <row r="26" spans="1:14" x14ac:dyDescent="0.25">
      <c r="E26" s="55"/>
      <c r="F26" s="54"/>
      <c r="G26" s="54"/>
    </row>
    <row r="27" spans="1:14" x14ac:dyDescent="0.25">
      <c r="E27" s="55"/>
      <c r="F27" s="54"/>
      <c r="G27" s="54"/>
    </row>
    <row r="28" spans="1:14" x14ac:dyDescent="0.25">
      <c r="E28" s="55"/>
      <c r="F28" s="54"/>
      <c r="G28" s="54"/>
    </row>
    <row r="29" spans="1:14" x14ac:dyDescent="0.25">
      <c r="E29" s="55"/>
      <c r="F29" s="54"/>
      <c r="G29" s="54"/>
    </row>
    <row r="30" spans="1:14" x14ac:dyDescent="0.25">
      <c r="E30" s="55"/>
      <c r="F30" s="54"/>
      <c r="G30" s="54"/>
    </row>
    <row r="31" spans="1:14" x14ac:dyDescent="0.25">
      <c r="E31" s="55"/>
      <c r="F31" s="54"/>
      <c r="G31" s="54"/>
    </row>
    <row r="32" spans="1:14" x14ac:dyDescent="0.25">
      <c r="E32" s="55"/>
      <c r="G32" s="54"/>
    </row>
  </sheetData>
  <mergeCells count="5">
    <mergeCell ref="A2:N2"/>
    <mergeCell ref="A4:A17"/>
    <mergeCell ref="B4:N4"/>
    <mergeCell ref="B8:N8"/>
    <mergeCell ref="B13:N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pane xSplit="2" ySplit="3" topLeftCell="L4" activePane="bottomRight" state="frozen"/>
      <selection pane="topRight" activeCell="C1" sqref="C1"/>
      <selection pane="bottomLeft" activeCell="A4" sqref="A4"/>
      <selection pane="bottomRight" activeCell="N16" sqref="N16"/>
    </sheetView>
  </sheetViews>
  <sheetFormatPr defaultRowHeight="15" x14ac:dyDescent="0.25"/>
  <cols>
    <col min="1" max="1" width="16.85546875" customWidth="1"/>
    <col min="2" max="2" width="11.42578125" customWidth="1"/>
    <col min="3" max="3" width="13.42578125" customWidth="1"/>
    <col min="4" max="4" width="13.42578125" bestFit="1" customWidth="1"/>
    <col min="5" max="5" width="13" customWidth="1"/>
    <col min="6" max="6" width="13.140625" customWidth="1"/>
    <col min="7" max="7" width="14.42578125" customWidth="1"/>
    <col min="8" max="8" width="13.140625" customWidth="1"/>
    <col min="9" max="9" width="13.5703125" style="70" customWidth="1"/>
    <col min="10" max="10" width="14.5703125" style="70" customWidth="1"/>
    <col min="11" max="11" width="14.42578125" style="70" customWidth="1"/>
    <col min="12" max="12" width="15.140625" style="70" customWidth="1"/>
    <col min="13" max="13" width="13.85546875" style="70" customWidth="1"/>
    <col min="14" max="14" width="15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66"/>
      <c r="J1" s="66"/>
      <c r="K1" s="66"/>
      <c r="L1" s="66"/>
      <c r="M1" s="66"/>
      <c r="N1" s="1"/>
    </row>
    <row r="2" spans="1:14" ht="26.25" customHeight="1" thickBot="1" x14ac:dyDescent="0.3">
      <c r="A2" s="95" t="s">
        <v>40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30" x14ac:dyDescent="0.25">
      <c r="A3" s="43" t="s">
        <v>0</v>
      </c>
      <c r="B3" s="44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67" t="s">
        <v>8</v>
      </c>
      <c r="J3" s="67" t="s">
        <v>9</v>
      </c>
      <c r="K3" s="67" t="s">
        <v>10</v>
      </c>
      <c r="L3" s="67" t="s">
        <v>11</v>
      </c>
      <c r="M3" s="67" t="s">
        <v>12</v>
      </c>
      <c r="N3" s="22" t="s">
        <v>13</v>
      </c>
    </row>
    <row r="4" spans="1:14" x14ac:dyDescent="0.25">
      <c r="A4" s="97" t="s">
        <v>29</v>
      </c>
      <c r="B4" s="101" t="s">
        <v>34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91"/>
    </row>
    <row r="5" spans="1:14" x14ac:dyDescent="0.25">
      <c r="A5" s="98"/>
      <c r="B5" s="45" t="s">
        <v>14</v>
      </c>
      <c r="C5" s="50">
        <f>1797088+26836+1963261+245906+15858</f>
        <v>4048949</v>
      </c>
      <c r="D5" s="50">
        <f>1257319+25548+1108291+149985+14634</f>
        <v>2555777</v>
      </c>
      <c r="E5" s="50">
        <f>1278940+21001+1023493+124326+19324</f>
        <v>2467084</v>
      </c>
      <c r="F5" s="68">
        <f>1094598+13425+876499+10745+8936</f>
        <v>2004203</v>
      </c>
      <c r="G5" s="50">
        <f>1193195+5604+644433+79826+9275</f>
        <v>1932333</v>
      </c>
      <c r="H5" s="50">
        <f>1283474+5262+602725+60928+5275</f>
        <v>1957664</v>
      </c>
      <c r="I5" s="50">
        <v>2118896</v>
      </c>
      <c r="J5" s="50">
        <f>1376722+776823</f>
        <v>2153545</v>
      </c>
      <c r="K5" s="50">
        <f>1123089+746764</f>
        <v>1869853</v>
      </c>
      <c r="L5" s="50">
        <f>1101612+1044782</f>
        <v>2146394</v>
      </c>
      <c r="M5" s="50">
        <f>1386657+1251237</f>
        <v>2637894</v>
      </c>
      <c r="N5" s="50">
        <f>1457352+1326379</f>
        <v>2783731</v>
      </c>
    </row>
    <row r="6" spans="1:14" x14ac:dyDescent="0.25">
      <c r="A6" s="98"/>
      <c r="B6" s="45" t="s">
        <v>16</v>
      </c>
      <c r="C6" s="50">
        <f>853986+200315</f>
        <v>1054301</v>
      </c>
      <c r="D6" s="50">
        <f>572112+124981</f>
        <v>697093</v>
      </c>
      <c r="E6" s="50">
        <f>516059+133415</f>
        <v>649474</v>
      </c>
      <c r="F6" s="50">
        <f>400214+95604</f>
        <v>495818</v>
      </c>
      <c r="G6" s="50">
        <f>290426+61936</f>
        <v>352362</v>
      </c>
      <c r="H6" s="50">
        <f>284425+38249</f>
        <v>322674</v>
      </c>
      <c r="I6" s="50">
        <v>342770</v>
      </c>
      <c r="J6" s="50">
        <v>350168</v>
      </c>
      <c r="K6" s="50">
        <v>336439</v>
      </c>
      <c r="L6" s="50">
        <v>547588</v>
      </c>
      <c r="M6" s="50">
        <v>743512</v>
      </c>
      <c r="N6" s="50">
        <v>811359</v>
      </c>
    </row>
    <row r="7" spans="1:14" x14ac:dyDescent="0.25">
      <c r="A7" s="98"/>
      <c r="B7" s="45" t="s">
        <v>17</v>
      </c>
      <c r="C7" s="50">
        <v>19347</v>
      </c>
      <c r="D7" s="50">
        <v>16744</v>
      </c>
      <c r="E7" s="50">
        <v>18334</v>
      </c>
      <c r="F7" s="50">
        <v>17094</v>
      </c>
      <c r="G7" s="50">
        <v>14560</v>
      </c>
      <c r="H7" s="50">
        <v>14772</v>
      </c>
      <c r="I7" s="50">
        <v>15849</v>
      </c>
      <c r="J7" s="50">
        <v>13434</v>
      </c>
      <c r="K7" s="50">
        <v>13915</v>
      </c>
      <c r="L7" s="50">
        <v>14775</v>
      </c>
      <c r="M7" s="50">
        <v>18126</v>
      </c>
      <c r="N7" s="50">
        <v>18743</v>
      </c>
    </row>
    <row r="8" spans="1:14" x14ac:dyDescent="0.25">
      <c r="A8" s="98"/>
      <c r="B8" s="102" t="s">
        <v>35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96"/>
    </row>
    <row r="9" spans="1:14" x14ac:dyDescent="0.25">
      <c r="A9" s="98"/>
      <c r="B9" s="45" t="s">
        <v>14</v>
      </c>
      <c r="C9" s="51">
        <v>11094</v>
      </c>
      <c r="D9" s="51">
        <v>10227</v>
      </c>
      <c r="E9" s="51">
        <v>10556</v>
      </c>
      <c r="F9" s="51">
        <v>7683</v>
      </c>
      <c r="G9" s="51">
        <v>7915</v>
      </c>
      <c r="H9" s="51">
        <v>6912</v>
      </c>
      <c r="I9" s="51">
        <v>6201</v>
      </c>
      <c r="J9" s="68">
        <v>6505</v>
      </c>
      <c r="K9" s="68">
        <v>7744</v>
      </c>
      <c r="L9" s="68">
        <v>10524</v>
      </c>
      <c r="M9" s="68">
        <v>9209</v>
      </c>
      <c r="N9" s="68">
        <v>9730</v>
      </c>
    </row>
    <row r="10" spans="1:14" x14ac:dyDescent="0.25">
      <c r="A10" s="98"/>
      <c r="B10" s="45" t="s">
        <v>15</v>
      </c>
      <c r="C10" s="51"/>
      <c r="D10" s="10"/>
      <c r="E10" s="10"/>
      <c r="F10" s="10"/>
      <c r="G10" s="10"/>
      <c r="H10" s="10"/>
      <c r="I10" s="68"/>
      <c r="J10" s="68"/>
      <c r="K10" s="68"/>
      <c r="L10" s="68"/>
      <c r="M10" s="68"/>
      <c r="N10" s="35"/>
    </row>
    <row r="11" spans="1:14" x14ac:dyDescent="0.25">
      <c r="A11" s="98"/>
      <c r="B11" s="45" t="s">
        <v>16</v>
      </c>
      <c r="C11" s="50"/>
      <c r="D11" s="34"/>
      <c r="E11" s="10"/>
      <c r="F11" s="10"/>
      <c r="G11" s="10"/>
      <c r="H11" s="34"/>
      <c r="I11" s="68"/>
      <c r="J11" s="71"/>
      <c r="K11" s="71"/>
      <c r="L11" s="71"/>
      <c r="M11" s="71"/>
      <c r="N11" s="38"/>
    </row>
    <row r="12" spans="1:14" x14ac:dyDescent="0.25">
      <c r="A12" s="98"/>
      <c r="B12" s="47" t="s">
        <v>17</v>
      </c>
      <c r="C12" s="51"/>
      <c r="D12" s="8"/>
      <c r="E12" s="8"/>
      <c r="F12" s="8"/>
      <c r="G12" s="8"/>
      <c r="H12" s="8"/>
      <c r="I12" s="68"/>
      <c r="J12" s="68"/>
      <c r="K12" s="68"/>
      <c r="L12" s="68"/>
      <c r="M12" s="71"/>
      <c r="N12" s="25"/>
    </row>
    <row r="13" spans="1:14" x14ac:dyDescent="0.25">
      <c r="A13" s="99"/>
      <c r="B13" s="101" t="s">
        <v>26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91"/>
    </row>
    <row r="14" spans="1:14" x14ac:dyDescent="0.25">
      <c r="A14" s="99"/>
      <c r="B14" s="47" t="s">
        <v>14</v>
      </c>
      <c r="C14" s="72">
        <v>3.5390000000000001</v>
      </c>
      <c r="D14" s="72">
        <v>2.3410000000000002</v>
      </c>
      <c r="E14" s="52">
        <v>2.0680000000000001</v>
      </c>
      <c r="F14" s="52">
        <v>1.8620000000000001</v>
      </c>
      <c r="G14" s="52">
        <v>1.355</v>
      </c>
      <c r="H14" s="52">
        <v>1.2170000000000001</v>
      </c>
      <c r="I14" s="52">
        <v>1.2729999999999999</v>
      </c>
      <c r="J14" s="72">
        <v>1.419</v>
      </c>
      <c r="K14" s="72">
        <v>1.323</v>
      </c>
      <c r="L14" s="72">
        <v>1.5780000000000001</v>
      </c>
      <c r="M14" s="72">
        <v>2.1709999999999998</v>
      </c>
      <c r="N14" s="72">
        <v>2.2040000000000002</v>
      </c>
    </row>
    <row r="15" spans="1:14" x14ac:dyDescent="0.25">
      <c r="A15" s="99"/>
      <c r="B15" s="47" t="s">
        <v>16</v>
      </c>
      <c r="C15" s="72">
        <v>0.28799999999999998</v>
      </c>
      <c r="D15" s="72">
        <v>0.20200000000000001</v>
      </c>
      <c r="E15" s="52">
        <v>0.19400000000000001</v>
      </c>
      <c r="F15" s="52">
        <v>0.151</v>
      </c>
      <c r="G15" s="52">
        <v>9.8000000000000004E-2</v>
      </c>
      <c r="H15" s="52">
        <v>6.2E-2</v>
      </c>
      <c r="I15" s="52">
        <v>6.2E-2</v>
      </c>
      <c r="J15" s="72">
        <v>6.7000000000000004E-2</v>
      </c>
      <c r="K15" s="72">
        <v>6.5000000000000002E-2</v>
      </c>
      <c r="L15" s="72">
        <v>0.14000000000000001</v>
      </c>
      <c r="M15" s="72">
        <v>0.18</v>
      </c>
      <c r="N15" s="72">
        <v>0.218</v>
      </c>
    </row>
    <row r="16" spans="1:14" x14ac:dyDescent="0.25">
      <c r="A16" s="99"/>
      <c r="B16" s="47" t="s">
        <v>17</v>
      </c>
      <c r="C16" s="23"/>
      <c r="D16" s="8"/>
      <c r="E16" s="8"/>
      <c r="F16" s="8"/>
      <c r="G16" s="8"/>
      <c r="H16" s="8"/>
      <c r="I16" s="68"/>
      <c r="J16" s="68"/>
      <c r="K16" s="68"/>
      <c r="L16" s="68"/>
      <c r="M16" s="71"/>
      <c r="N16" s="23"/>
    </row>
    <row r="17" spans="1:14" ht="15.75" thickBot="1" x14ac:dyDescent="0.3">
      <c r="A17" s="100"/>
      <c r="B17" s="49" t="s">
        <v>18</v>
      </c>
      <c r="C17" s="37">
        <f>SUM(C5:C12)</f>
        <v>5133691</v>
      </c>
      <c r="D17" s="37">
        <f t="shared" ref="D17" si="0">SUM(D5:D12)</f>
        <v>3279841</v>
      </c>
      <c r="E17" s="37">
        <f>SUM(E5:E12)</f>
        <v>3145448</v>
      </c>
      <c r="F17" s="37">
        <f>SUM(F5:F12)</f>
        <v>2524798</v>
      </c>
      <c r="G17" s="37">
        <f t="shared" ref="G17:M17" si="1">SUM(G5:G12)</f>
        <v>2307170</v>
      </c>
      <c r="H17" s="37">
        <f t="shared" si="1"/>
        <v>2302022</v>
      </c>
      <c r="I17" s="37">
        <f t="shared" si="1"/>
        <v>2483716</v>
      </c>
      <c r="J17" s="37">
        <f t="shared" si="1"/>
        <v>2523652</v>
      </c>
      <c r="K17" s="37">
        <f t="shared" si="1"/>
        <v>2227951</v>
      </c>
      <c r="L17" s="37">
        <f t="shared" si="1"/>
        <v>2719281</v>
      </c>
      <c r="M17" s="37">
        <f t="shared" si="1"/>
        <v>3408741</v>
      </c>
      <c r="N17" s="39">
        <f>SUM(N5:N12)</f>
        <v>3623563</v>
      </c>
    </row>
    <row r="21" spans="1:14" x14ac:dyDescent="0.25">
      <c r="E21" s="55"/>
      <c r="F21" s="54"/>
      <c r="G21" s="54"/>
    </row>
    <row r="22" spans="1:14" x14ac:dyDescent="0.25">
      <c r="E22" s="55"/>
      <c r="F22" s="54"/>
      <c r="G22" s="54"/>
    </row>
    <row r="23" spans="1:14" x14ac:dyDescent="0.25">
      <c r="E23" s="55"/>
      <c r="F23" s="54"/>
      <c r="G23" s="54"/>
    </row>
    <row r="24" spans="1:14" x14ac:dyDescent="0.25">
      <c r="E24" s="55"/>
      <c r="G24" s="54"/>
    </row>
    <row r="25" spans="1:14" x14ac:dyDescent="0.25">
      <c r="E25" s="55"/>
      <c r="F25" s="54"/>
      <c r="G25" s="54"/>
    </row>
    <row r="26" spans="1:14" x14ac:dyDescent="0.25">
      <c r="E26" s="55"/>
      <c r="F26" s="54"/>
      <c r="G26" s="54"/>
    </row>
    <row r="27" spans="1:14" x14ac:dyDescent="0.25">
      <c r="E27" s="55"/>
      <c r="F27" s="54"/>
      <c r="G27" s="54"/>
    </row>
    <row r="28" spans="1:14" x14ac:dyDescent="0.25">
      <c r="E28" s="55"/>
      <c r="F28" s="54"/>
      <c r="G28" s="54"/>
    </row>
    <row r="29" spans="1:14" x14ac:dyDescent="0.25">
      <c r="E29" s="55"/>
      <c r="F29" s="54"/>
      <c r="G29" s="54"/>
    </row>
    <row r="30" spans="1:14" x14ac:dyDescent="0.25">
      <c r="E30" s="55"/>
      <c r="F30" s="54"/>
      <c r="G30" s="54"/>
    </row>
    <row r="31" spans="1:14" x14ac:dyDescent="0.25">
      <c r="E31" s="55"/>
      <c r="F31" s="54"/>
      <c r="G31" s="54"/>
    </row>
    <row r="32" spans="1:14" x14ac:dyDescent="0.25">
      <c r="E32" s="55"/>
      <c r="G32" s="54"/>
    </row>
  </sheetData>
  <mergeCells count="5">
    <mergeCell ref="A2:N2"/>
    <mergeCell ref="A4:A17"/>
    <mergeCell ref="B4:N4"/>
    <mergeCell ref="B8:N8"/>
    <mergeCell ref="B13:N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C17" sqref="A16:C17"/>
    </sheetView>
  </sheetViews>
  <sheetFormatPr defaultColWidth="9.140625" defaultRowHeight="22.5" customHeight="1" x14ac:dyDescent="0.25"/>
  <cols>
    <col min="1" max="1" width="15.42578125" style="1" customWidth="1"/>
    <col min="2" max="2" width="42.140625" style="1" customWidth="1"/>
    <col min="3" max="3" width="16.28515625" style="1" customWidth="1"/>
    <col min="4" max="14" width="13" style="1" customWidth="1"/>
    <col min="15" max="16384" width="9.140625" style="1"/>
  </cols>
  <sheetData>
    <row r="2" spans="1:14" ht="42.75" customHeight="1" x14ac:dyDescent="0.25">
      <c r="A2" s="77" t="s">
        <v>21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s="7" customFormat="1" ht="33" customHeight="1" x14ac:dyDescent="0.25">
      <c r="A3" s="2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</row>
    <row r="4" spans="1:14" ht="22.5" customHeight="1" x14ac:dyDescent="0.25">
      <c r="A4" s="78" t="s">
        <v>22</v>
      </c>
      <c r="B4" s="81" t="s">
        <v>28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ht="22.5" customHeight="1" x14ac:dyDescent="0.25">
      <c r="A5" s="79"/>
      <c r="B5" s="9" t="s">
        <v>14</v>
      </c>
      <c r="C5" s="10">
        <v>2403946</v>
      </c>
      <c r="D5" s="10">
        <v>2053531</v>
      </c>
      <c r="E5" s="10">
        <v>2045049</v>
      </c>
      <c r="F5" s="10">
        <v>1584605</v>
      </c>
      <c r="G5" s="10">
        <v>1437324</v>
      </c>
      <c r="H5" s="10">
        <v>1288202</v>
      </c>
      <c r="I5" s="10">
        <v>1458819</v>
      </c>
      <c r="J5" s="10">
        <v>1386714</v>
      </c>
      <c r="K5" s="10">
        <v>1352378</v>
      </c>
      <c r="L5" s="10">
        <v>1690073</v>
      </c>
      <c r="M5" s="10">
        <v>1774850</v>
      </c>
      <c r="N5" s="10">
        <v>2240193</v>
      </c>
    </row>
    <row r="6" spans="1:14" ht="22.5" customHeight="1" x14ac:dyDescent="0.25">
      <c r="A6" s="79"/>
      <c r="B6" s="9" t="s">
        <v>16</v>
      </c>
      <c r="C6" s="10">
        <v>1155633</v>
      </c>
      <c r="D6" s="10">
        <v>895108</v>
      </c>
      <c r="E6" s="10">
        <v>817432</v>
      </c>
      <c r="F6" s="10">
        <v>580352</v>
      </c>
      <c r="G6" s="10">
        <v>461775</v>
      </c>
      <c r="H6" s="10">
        <v>355633</v>
      </c>
      <c r="I6" s="10">
        <v>359624</v>
      </c>
      <c r="J6" s="10">
        <v>376232</v>
      </c>
      <c r="K6" s="10">
        <v>434904</v>
      </c>
      <c r="L6" s="10">
        <v>654345</v>
      </c>
      <c r="M6" s="10">
        <v>677819</v>
      </c>
      <c r="N6" s="10">
        <v>1140414</v>
      </c>
    </row>
    <row r="7" spans="1:14" ht="22.5" customHeight="1" x14ac:dyDescent="0.25">
      <c r="A7" s="79"/>
      <c r="B7" s="9" t="s">
        <v>17</v>
      </c>
      <c r="C7" s="10">
        <v>26718</v>
      </c>
      <c r="D7" s="10">
        <v>25814</v>
      </c>
      <c r="E7" s="10">
        <v>21092</v>
      </c>
      <c r="F7" s="10">
        <v>19610</v>
      </c>
      <c r="G7" s="10">
        <v>12968</v>
      </c>
      <c r="H7" s="10">
        <v>14073</v>
      </c>
      <c r="I7" s="10">
        <v>14625</v>
      </c>
      <c r="J7" s="10">
        <v>16460</v>
      </c>
      <c r="K7" s="10">
        <v>15974</v>
      </c>
      <c r="L7" s="10">
        <v>17129</v>
      </c>
      <c r="M7" s="10">
        <v>20553</v>
      </c>
      <c r="N7" s="10">
        <v>29109</v>
      </c>
    </row>
    <row r="8" spans="1:14" ht="22.5" customHeight="1" x14ac:dyDescent="0.25">
      <c r="A8" s="79"/>
      <c r="B8" s="84" t="s">
        <v>27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6"/>
    </row>
    <row r="9" spans="1:14" ht="22.5" customHeight="1" x14ac:dyDescent="0.25">
      <c r="A9" s="79"/>
      <c r="B9" s="9" t="s">
        <v>14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22.5" customHeight="1" x14ac:dyDescent="0.25">
      <c r="A10" s="79"/>
      <c r="B10" s="9" t="s">
        <v>15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22.5" customHeight="1" x14ac:dyDescent="0.25">
      <c r="A11" s="79"/>
      <c r="B11" s="9" t="s">
        <v>16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22.5" customHeight="1" x14ac:dyDescent="0.25">
      <c r="A12" s="79"/>
      <c r="B12" s="9" t="s">
        <v>17</v>
      </c>
      <c r="C12" s="10">
        <v>3220</v>
      </c>
      <c r="D12" s="10">
        <v>3774</v>
      </c>
      <c r="E12" s="10">
        <v>2481</v>
      </c>
      <c r="F12" s="10">
        <v>3375</v>
      </c>
      <c r="G12" s="10">
        <v>2836</v>
      </c>
      <c r="H12" s="10">
        <v>2556</v>
      </c>
      <c r="I12" s="10">
        <v>2071</v>
      </c>
      <c r="J12" s="10">
        <v>2674</v>
      </c>
      <c r="K12" s="10">
        <v>2239</v>
      </c>
      <c r="L12" s="10">
        <v>4330</v>
      </c>
      <c r="M12" s="10">
        <v>3504</v>
      </c>
      <c r="N12" s="10">
        <v>2944</v>
      </c>
    </row>
    <row r="13" spans="1:14" ht="22.5" customHeight="1" x14ac:dyDescent="0.25">
      <c r="A13" s="80"/>
      <c r="B13" s="11" t="s">
        <v>18</v>
      </c>
      <c r="C13" s="12">
        <f t="shared" ref="C13:N13" si="0">SUM(C5:C7,C9:C12)</f>
        <v>3589517</v>
      </c>
      <c r="D13" s="12">
        <f t="shared" si="0"/>
        <v>2978227</v>
      </c>
      <c r="E13" s="12">
        <f t="shared" si="0"/>
        <v>2886054</v>
      </c>
      <c r="F13" s="12">
        <f t="shared" si="0"/>
        <v>2187942</v>
      </c>
      <c r="G13" s="12">
        <f t="shared" si="0"/>
        <v>1914903</v>
      </c>
      <c r="H13" s="12">
        <f t="shared" si="0"/>
        <v>1660464</v>
      </c>
      <c r="I13" s="12">
        <f t="shared" si="0"/>
        <v>1835139</v>
      </c>
      <c r="J13" s="12">
        <f t="shared" si="0"/>
        <v>1782080</v>
      </c>
      <c r="K13" s="12">
        <f t="shared" si="0"/>
        <v>1805495</v>
      </c>
      <c r="L13" s="12">
        <f t="shared" si="0"/>
        <v>2365877</v>
      </c>
      <c r="M13" s="12">
        <f t="shared" si="0"/>
        <v>2476726</v>
      </c>
      <c r="N13" s="12">
        <f t="shared" si="0"/>
        <v>3412660</v>
      </c>
    </row>
  </sheetData>
  <mergeCells count="4">
    <mergeCell ref="A2:N2"/>
    <mergeCell ref="A4:A13"/>
    <mergeCell ref="B4:N4"/>
    <mergeCell ref="B8:N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zoomScaleNormal="100" workbookViewId="0">
      <selection activeCell="A18" sqref="A18"/>
    </sheetView>
  </sheetViews>
  <sheetFormatPr defaultColWidth="9.140625" defaultRowHeight="22.5" customHeight="1" x14ac:dyDescent="0.25"/>
  <cols>
    <col min="1" max="1" width="15.42578125" style="1" customWidth="1"/>
    <col min="2" max="2" width="11" style="1" customWidth="1"/>
    <col min="3" max="11" width="13" style="1" customWidth="1"/>
    <col min="12" max="12" width="15.28515625" style="1" customWidth="1"/>
    <col min="13" max="13" width="13" style="1" customWidth="1"/>
    <col min="14" max="14" width="15.28515625" style="1" customWidth="1"/>
    <col min="15" max="16384" width="9.140625" style="1"/>
  </cols>
  <sheetData>
    <row r="2" spans="1:14" ht="31.5" customHeight="1" thickBot="1" x14ac:dyDescent="0.3">
      <c r="A2" s="77" t="s">
        <v>24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54" customHeight="1" x14ac:dyDescent="0.25">
      <c r="A3" s="19" t="s">
        <v>0</v>
      </c>
      <c r="B3" s="20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22.5" customHeight="1" x14ac:dyDescent="0.25">
      <c r="A4" s="87" t="s">
        <v>32</v>
      </c>
      <c r="B4" s="81" t="s">
        <v>28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91"/>
    </row>
    <row r="5" spans="1:14" ht="22.5" customHeight="1" x14ac:dyDescent="0.25">
      <c r="A5" s="88"/>
      <c r="B5" s="3" t="s">
        <v>14</v>
      </c>
      <c r="C5" s="17">
        <v>2252.2539999999999</v>
      </c>
      <c r="D5" s="17">
        <v>2097.683</v>
      </c>
      <c r="E5" s="17">
        <v>1995.529</v>
      </c>
      <c r="F5" s="17">
        <v>1659.23</v>
      </c>
      <c r="G5" s="17">
        <v>1421.731</v>
      </c>
      <c r="H5" s="17">
        <v>1382.896</v>
      </c>
      <c r="I5" s="17">
        <v>1407.511</v>
      </c>
      <c r="J5" s="17">
        <v>1581.2190000000001</v>
      </c>
      <c r="K5" s="17">
        <v>1078.395</v>
      </c>
      <c r="L5" s="17">
        <v>1653.9639999999999</v>
      </c>
      <c r="M5" s="31">
        <v>1802.56</v>
      </c>
      <c r="N5" s="32">
        <v>1997.826</v>
      </c>
    </row>
    <row r="6" spans="1:14" ht="22.5" customHeight="1" x14ac:dyDescent="0.25">
      <c r="A6" s="88"/>
      <c r="B6" s="3" t="s">
        <v>16</v>
      </c>
      <c r="C6" s="17">
        <v>971.48299999999995</v>
      </c>
      <c r="D6" s="17">
        <v>830.63199999999995</v>
      </c>
      <c r="E6" s="17">
        <v>952.33100000000002</v>
      </c>
      <c r="F6" s="17">
        <v>704.56500000000005</v>
      </c>
      <c r="G6" s="17">
        <v>489.94400000000002</v>
      </c>
      <c r="H6" s="17">
        <v>366.89100000000002</v>
      </c>
      <c r="I6" s="17">
        <v>363.488</v>
      </c>
      <c r="J6" s="17">
        <v>448.05</v>
      </c>
      <c r="K6" s="17">
        <v>456.26</v>
      </c>
      <c r="L6" s="17">
        <v>728.58100000000002</v>
      </c>
      <c r="M6" s="31">
        <v>909.61300000000006</v>
      </c>
      <c r="N6" s="32">
        <v>977.87900000000002</v>
      </c>
    </row>
    <row r="7" spans="1:14" ht="22.5" customHeight="1" x14ac:dyDescent="0.25">
      <c r="A7" s="88"/>
      <c r="B7" s="3" t="s">
        <v>17</v>
      </c>
      <c r="C7" s="17">
        <v>24.614999999999998</v>
      </c>
      <c r="D7" s="17">
        <v>22.765999999999998</v>
      </c>
      <c r="E7" s="17">
        <v>21.437000000000001</v>
      </c>
      <c r="F7" s="17">
        <v>26.256</v>
      </c>
      <c r="G7" s="17">
        <v>15.629</v>
      </c>
      <c r="H7" s="17">
        <v>13.901</v>
      </c>
      <c r="I7" s="17">
        <v>14.212999999999999</v>
      </c>
      <c r="J7" s="17">
        <v>19.295000000000002</v>
      </c>
      <c r="K7" s="17">
        <v>18.315000000000001</v>
      </c>
      <c r="L7" s="17">
        <v>24.233000000000001</v>
      </c>
      <c r="M7" s="31">
        <v>29.074999999999999</v>
      </c>
      <c r="N7" s="32">
        <v>29.422999999999998</v>
      </c>
    </row>
    <row r="8" spans="1:14" ht="22.5" customHeight="1" x14ac:dyDescent="0.25">
      <c r="A8" s="88"/>
      <c r="B8" s="92" t="s">
        <v>27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4"/>
    </row>
    <row r="9" spans="1:14" ht="22.5" customHeight="1" x14ac:dyDescent="0.25">
      <c r="A9" s="88"/>
      <c r="B9" s="3" t="s">
        <v>14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24"/>
    </row>
    <row r="10" spans="1:14" ht="22.5" customHeight="1" x14ac:dyDescent="0.25">
      <c r="A10" s="88"/>
      <c r="B10" s="3" t="s">
        <v>15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4"/>
    </row>
    <row r="11" spans="1:14" ht="22.5" customHeight="1" x14ac:dyDescent="0.25">
      <c r="A11" s="88"/>
      <c r="B11" s="3" t="s">
        <v>16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30"/>
    </row>
    <row r="12" spans="1:14" ht="22.5" customHeight="1" x14ac:dyDescent="0.25">
      <c r="A12" s="88"/>
      <c r="B12" s="3" t="s">
        <v>17</v>
      </c>
      <c r="C12" s="16">
        <v>3.008</v>
      </c>
      <c r="D12" s="16">
        <v>2.899</v>
      </c>
      <c r="E12" s="16">
        <v>2.1389999999999998</v>
      </c>
      <c r="F12" s="16">
        <v>2.6880000000000002</v>
      </c>
      <c r="G12" s="16">
        <v>3.379</v>
      </c>
      <c r="H12" s="16">
        <v>2.5579999999999998</v>
      </c>
      <c r="I12" s="16">
        <v>2.2269999999999999</v>
      </c>
      <c r="J12" s="16">
        <v>2.4340000000000002</v>
      </c>
      <c r="K12" s="16">
        <v>2.15</v>
      </c>
      <c r="L12" s="16">
        <v>4.6920000000000002</v>
      </c>
      <c r="M12" s="16">
        <v>2.6179999999999999</v>
      </c>
      <c r="N12" s="29">
        <v>2.7069999999999999</v>
      </c>
    </row>
    <row r="13" spans="1:14" ht="22.5" customHeight="1" x14ac:dyDescent="0.25">
      <c r="A13" s="89"/>
      <c r="B13" s="81" t="s">
        <v>26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91"/>
    </row>
    <row r="14" spans="1:14" ht="22.5" customHeight="1" x14ac:dyDescent="0.25">
      <c r="A14" s="89"/>
      <c r="B14" s="3" t="s">
        <v>14</v>
      </c>
      <c r="C14" s="17">
        <v>4.6970000000000001</v>
      </c>
      <c r="D14" s="17">
        <v>4.8879999999999999</v>
      </c>
      <c r="E14" s="17">
        <v>3.7050000000000001</v>
      </c>
      <c r="F14" s="17">
        <v>3.585</v>
      </c>
      <c r="G14" s="17">
        <v>2.9209999999999998</v>
      </c>
      <c r="H14" s="17">
        <v>2.871</v>
      </c>
      <c r="I14" s="17">
        <v>2.9279999999999999</v>
      </c>
      <c r="J14" s="17">
        <v>3.3380000000000001</v>
      </c>
      <c r="K14" s="17">
        <v>2.827</v>
      </c>
      <c r="L14" s="17">
        <v>2.9860000000000002</v>
      </c>
      <c r="M14" s="31">
        <v>3.7490000000000001</v>
      </c>
      <c r="N14" s="32">
        <v>4.1020000000000003</v>
      </c>
    </row>
    <row r="15" spans="1:14" ht="22.5" customHeight="1" x14ac:dyDescent="0.25">
      <c r="A15" s="89"/>
      <c r="B15" s="3" t="s">
        <v>16</v>
      </c>
      <c r="C15" s="17">
        <v>0.31900000000000001</v>
      </c>
      <c r="D15" s="17">
        <v>0.33600000000000002</v>
      </c>
      <c r="E15" s="17">
        <v>0.373</v>
      </c>
      <c r="F15" s="17">
        <v>0.26900000000000002</v>
      </c>
      <c r="G15" s="17"/>
      <c r="H15" s="17">
        <v>9.7000000000000003E-2</v>
      </c>
      <c r="I15" s="17">
        <v>0.108</v>
      </c>
      <c r="J15" s="17">
        <v>0.22</v>
      </c>
      <c r="K15" s="17">
        <v>0.22800000000000001</v>
      </c>
      <c r="L15" s="17">
        <v>0.32600000000000001</v>
      </c>
      <c r="M15" s="31">
        <v>0.35399999999999998</v>
      </c>
      <c r="N15" s="32">
        <v>0.39700000000000002</v>
      </c>
    </row>
    <row r="16" spans="1:14" ht="22.5" customHeight="1" x14ac:dyDescent="0.25">
      <c r="A16" s="89"/>
      <c r="B16" s="3" t="s">
        <v>17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14"/>
      <c r="N16" s="23"/>
    </row>
    <row r="17" spans="1:14" ht="22.5" customHeight="1" thickBot="1" x14ac:dyDescent="0.3">
      <c r="A17" s="90"/>
      <c r="B17" s="26" t="s">
        <v>18</v>
      </c>
      <c r="C17" s="27">
        <f>SUM(C5:C12)</f>
        <v>3251.3599999999997</v>
      </c>
      <c r="D17" s="27">
        <f t="shared" ref="D17:N17" si="0">SUM(D5:D12)</f>
        <v>2953.98</v>
      </c>
      <c r="E17" s="27">
        <f t="shared" si="0"/>
        <v>2971.4360000000001</v>
      </c>
      <c r="F17" s="27">
        <f t="shared" si="0"/>
        <v>2392.739</v>
      </c>
      <c r="G17" s="27">
        <f t="shared" si="0"/>
        <v>1930.6829999999998</v>
      </c>
      <c r="H17" s="27">
        <f t="shared" si="0"/>
        <v>1766.2460000000001</v>
      </c>
      <c r="I17" s="27">
        <f t="shared" si="0"/>
        <v>1787.4390000000001</v>
      </c>
      <c r="J17" s="27">
        <f t="shared" si="0"/>
        <v>2050.998</v>
      </c>
      <c r="K17" s="27">
        <f t="shared" si="0"/>
        <v>1555.1200000000001</v>
      </c>
      <c r="L17" s="27">
        <f t="shared" si="0"/>
        <v>2411.4700000000003</v>
      </c>
      <c r="M17" s="27">
        <f t="shared" si="0"/>
        <v>2743.8659999999995</v>
      </c>
      <c r="N17" s="28">
        <f t="shared" si="0"/>
        <v>3007.8349999999996</v>
      </c>
    </row>
    <row r="18" spans="1:14" ht="22.5" customHeight="1" x14ac:dyDescent="0.25"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</sheetData>
  <mergeCells count="5">
    <mergeCell ref="A2:N2"/>
    <mergeCell ref="A4:A17"/>
    <mergeCell ref="B4:N4"/>
    <mergeCell ref="B8:N8"/>
    <mergeCell ref="B13:N13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17"/>
  <sheetViews>
    <sheetView zoomScale="70" zoomScaleNormal="70" zoomScaleSheetLayoutView="115" workbookViewId="0">
      <selection sqref="A1:N17"/>
    </sheetView>
  </sheetViews>
  <sheetFormatPr defaultColWidth="9.140625" defaultRowHeight="22.5" customHeight="1" x14ac:dyDescent="0.25"/>
  <cols>
    <col min="1" max="1" width="15.42578125" style="1" customWidth="1"/>
    <col min="2" max="2" width="11" style="1" customWidth="1"/>
    <col min="3" max="4" width="15.85546875" style="1" customWidth="1"/>
    <col min="5" max="5" width="17.42578125" style="1" customWidth="1"/>
    <col min="6" max="6" width="13" style="1" customWidth="1"/>
    <col min="7" max="7" width="14.7109375" style="1" customWidth="1"/>
    <col min="8" max="8" width="14.42578125" style="1" customWidth="1"/>
    <col min="9" max="11" width="13" style="1" customWidth="1"/>
    <col min="12" max="12" width="15.28515625" style="1" customWidth="1"/>
    <col min="13" max="13" width="13" style="1" customWidth="1"/>
    <col min="14" max="14" width="15.28515625" style="1" customWidth="1"/>
    <col min="15" max="16384" width="9.140625" style="1"/>
  </cols>
  <sheetData>
    <row r="2" spans="1:61" ht="31.5" customHeight="1" thickBot="1" x14ac:dyDescent="0.3">
      <c r="A2" s="95" t="s">
        <v>25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61" s="7" customFormat="1" ht="30" x14ac:dyDescent="0.25">
      <c r="A3" s="19" t="s">
        <v>0</v>
      </c>
      <c r="B3" s="20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61" ht="15" x14ac:dyDescent="0.25">
      <c r="A4" s="87" t="s">
        <v>29</v>
      </c>
      <c r="B4" s="81" t="s">
        <v>28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91"/>
    </row>
    <row r="5" spans="1:61" ht="15" x14ac:dyDescent="0.25">
      <c r="A5" s="88"/>
      <c r="B5" s="9" t="s">
        <v>14</v>
      </c>
      <c r="C5" s="10">
        <v>2726446</v>
      </c>
      <c r="D5" s="10">
        <v>2124103</v>
      </c>
      <c r="E5" s="10">
        <v>2160035</v>
      </c>
      <c r="F5" s="10">
        <v>1528054</v>
      </c>
      <c r="G5" s="10">
        <v>1354715</v>
      </c>
      <c r="H5" s="34">
        <v>1242374</v>
      </c>
      <c r="I5" s="10">
        <v>1493113</v>
      </c>
      <c r="J5" s="34">
        <v>793699</v>
      </c>
      <c r="K5" s="10">
        <f>582738+707368</f>
        <v>1290106</v>
      </c>
      <c r="L5" s="34">
        <f>539639+229093+1218855</f>
        <v>1987587</v>
      </c>
      <c r="M5" s="34">
        <f>596848+1695502+271611</f>
        <v>2563961</v>
      </c>
      <c r="N5" s="38">
        <f>727840+1662519</f>
        <v>2390359</v>
      </c>
      <c r="BI5" s="1">
        <v>591.06600000000003</v>
      </c>
    </row>
    <row r="6" spans="1:61" ht="15" x14ac:dyDescent="0.25">
      <c r="A6" s="88"/>
      <c r="B6" s="9" t="s">
        <v>16</v>
      </c>
      <c r="C6" s="10">
        <v>1106375</v>
      </c>
      <c r="D6" s="10">
        <v>800338</v>
      </c>
      <c r="E6" s="10">
        <v>886370</v>
      </c>
      <c r="F6" s="10">
        <v>636607</v>
      </c>
      <c r="G6" s="10">
        <v>361407</v>
      </c>
      <c r="H6" s="34">
        <v>321802</v>
      </c>
      <c r="I6" s="10">
        <v>326948</v>
      </c>
      <c r="J6" s="34">
        <v>350437</v>
      </c>
      <c r="K6" s="10">
        <v>257994</v>
      </c>
      <c r="L6" s="34">
        <v>689272</v>
      </c>
      <c r="M6" s="34">
        <v>764116</v>
      </c>
      <c r="N6" s="38">
        <v>869094</v>
      </c>
    </row>
    <row r="7" spans="1:61" ht="15" x14ac:dyDescent="0.25">
      <c r="A7" s="88"/>
      <c r="B7" s="9" t="s">
        <v>17</v>
      </c>
      <c r="C7" s="10">
        <v>30012</v>
      </c>
      <c r="D7" s="10">
        <v>26070</v>
      </c>
      <c r="E7" s="10">
        <v>24322</v>
      </c>
      <c r="F7" s="10">
        <v>19222</v>
      </c>
      <c r="G7" s="10">
        <v>14360</v>
      </c>
      <c r="H7" s="34">
        <v>13982</v>
      </c>
      <c r="I7" s="10">
        <v>14402</v>
      </c>
      <c r="J7" s="34">
        <v>16011</v>
      </c>
      <c r="K7" s="10">
        <v>16483</v>
      </c>
      <c r="L7" s="34">
        <v>19463</v>
      </c>
      <c r="M7" s="34">
        <v>25244</v>
      </c>
      <c r="N7" s="38">
        <v>24236</v>
      </c>
    </row>
    <row r="8" spans="1:61" ht="15" x14ac:dyDescent="0.25">
      <c r="A8" s="88"/>
      <c r="B8" s="84" t="s">
        <v>27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96"/>
    </row>
    <row r="9" spans="1:61" ht="15" x14ac:dyDescent="0.25">
      <c r="A9" s="88"/>
      <c r="B9" s="9" t="s">
        <v>14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35"/>
    </row>
    <row r="10" spans="1:61" ht="15" x14ac:dyDescent="0.25">
      <c r="A10" s="88"/>
      <c r="B10" s="9" t="s">
        <v>15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35"/>
    </row>
    <row r="11" spans="1:61" ht="15" x14ac:dyDescent="0.25">
      <c r="A11" s="88"/>
      <c r="B11" s="9" t="s">
        <v>16</v>
      </c>
      <c r="C11" s="10">
        <v>2966</v>
      </c>
      <c r="D11" s="10">
        <v>3180</v>
      </c>
      <c r="E11" s="10">
        <v>2532</v>
      </c>
      <c r="F11" s="10">
        <v>4165</v>
      </c>
      <c r="G11" s="10">
        <v>3692</v>
      </c>
      <c r="H11" s="34">
        <v>3006</v>
      </c>
      <c r="I11" s="10">
        <v>3005</v>
      </c>
      <c r="J11" s="34">
        <v>2454</v>
      </c>
      <c r="K11" s="34">
        <v>3582</v>
      </c>
      <c r="L11" s="34">
        <v>4616</v>
      </c>
      <c r="M11" s="34">
        <v>3036</v>
      </c>
      <c r="N11" s="38">
        <v>2658</v>
      </c>
    </row>
    <row r="12" spans="1:61" ht="15" x14ac:dyDescent="0.25">
      <c r="A12" s="88"/>
      <c r="B12" s="3" t="s">
        <v>17</v>
      </c>
      <c r="C12" s="8"/>
      <c r="D12" s="8"/>
      <c r="E12" s="8"/>
      <c r="F12" s="8"/>
      <c r="G12" s="8"/>
      <c r="H12" s="8"/>
      <c r="I12" s="8"/>
      <c r="J12" s="8"/>
      <c r="K12" s="8"/>
      <c r="L12" s="13"/>
      <c r="M12" s="15"/>
      <c r="N12" s="25"/>
    </row>
    <row r="13" spans="1:61" ht="15" x14ac:dyDescent="0.25">
      <c r="A13" s="89"/>
      <c r="B13" s="81" t="s">
        <v>26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91"/>
    </row>
    <row r="14" spans="1:61" ht="15" x14ac:dyDescent="0.25">
      <c r="A14" s="89"/>
      <c r="B14" s="3" t="s">
        <v>14</v>
      </c>
      <c r="C14" s="17">
        <v>4.66</v>
      </c>
      <c r="D14" s="17">
        <v>3.9369999999999998</v>
      </c>
      <c r="E14" s="17">
        <v>3.91</v>
      </c>
      <c r="F14" s="17">
        <v>2.9129999999999998</v>
      </c>
      <c r="G14" s="17">
        <v>2.59</v>
      </c>
      <c r="H14" s="31">
        <v>2.5750000000000002</v>
      </c>
      <c r="I14" s="36">
        <v>2.702</v>
      </c>
      <c r="J14" s="31">
        <v>2.7610000000000001</v>
      </c>
      <c r="K14" s="31">
        <f>1.13+1.269</f>
        <v>2.399</v>
      </c>
      <c r="L14" s="31">
        <f>0.951+1.91</f>
        <v>2.8609999999999998</v>
      </c>
      <c r="M14" s="31">
        <f>2.811+1.049</f>
        <v>3.86</v>
      </c>
      <c r="N14" s="32">
        <f>1.077+2.468</f>
        <v>3.5449999999999999</v>
      </c>
      <c r="BI14" s="1">
        <v>591.06600000000003</v>
      </c>
    </row>
    <row r="15" spans="1:61" ht="15" x14ac:dyDescent="0.25">
      <c r="A15" s="89"/>
      <c r="B15" s="3" t="s">
        <v>16</v>
      </c>
      <c r="C15" s="17">
        <v>0.39700000000000002</v>
      </c>
      <c r="D15" s="17">
        <v>0.35799999999999998</v>
      </c>
      <c r="E15" s="17">
        <v>0.32500000000000001</v>
      </c>
      <c r="F15" s="17">
        <v>0.26800000000000002</v>
      </c>
      <c r="G15" s="17">
        <v>0.157</v>
      </c>
      <c r="H15" s="31">
        <v>0.13800000000000001</v>
      </c>
      <c r="I15" s="36">
        <v>0.129</v>
      </c>
      <c r="J15" s="31">
        <v>0.183</v>
      </c>
      <c r="K15" s="31">
        <v>2.9000000000000001E-2</v>
      </c>
      <c r="L15" s="31">
        <v>0.25</v>
      </c>
      <c r="M15" s="31">
        <v>0.30199999999999999</v>
      </c>
      <c r="N15" s="32">
        <v>0.29899999999999999</v>
      </c>
    </row>
    <row r="16" spans="1:61" ht="15" x14ac:dyDescent="0.25">
      <c r="A16" s="89"/>
      <c r="B16" s="3" t="s">
        <v>17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14"/>
      <c r="N16" s="23"/>
    </row>
    <row r="17" spans="1:14" ht="15.75" thickBot="1" x14ac:dyDescent="0.3">
      <c r="A17" s="90"/>
      <c r="B17" s="26" t="s">
        <v>18</v>
      </c>
      <c r="C17" s="37">
        <f t="shared" ref="C17:M17" si="0">SUM(C5:C12)</f>
        <v>3865799</v>
      </c>
      <c r="D17" s="37">
        <f t="shared" si="0"/>
        <v>2953691</v>
      </c>
      <c r="E17" s="37">
        <f t="shared" si="0"/>
        <v>3073259</v>
      </c>
      <c r="F17" s="37">
        <f t="shared" si="0"/>
        <v>2188048</v>
      </c>
      <c r="G17" s="37">
        <f t="shared" si="0"/>
        <v>1734174</v>
      </c>
      <c r="H17" s="37">
        <f t="shared" si="0"/>
        <v>1581164</v>
      </c>
      <c r="I17" s="37">
        <f t="shared" si="0"/>
        <v>1837468</v>
      </c>
      <c r="J17" s="37">
        <f t="shared" si="0"/>
        <v>1162601</v>
      </c>
      <c r="K17" s="37">
        <f t="shared" si="0"/>
        <v>1568165</v>
      </c>
      <c r="L17" s="37">
        <f t="shared" si="0"/>
        <v>2700938</v>
      </c>
      <c r="M17" s="37">
        <f t="shared" si="0"/>
        <v>3356357</v>
      </c>
      <c r="N17" s="39">
        <f>SUM(N5:N12)</f>
        <v>3286347</v>
      </c>
    </row>
  </sheetData>
  <mergeCells count="5">
    <mergeCell ref="A4:A17"/>
    <mergeCell ref="A2:N2"/>
    <mergeCell ref="B4:N4"/>
    <mergeCell ref="B8:N8"/>
    <mergeCell ref="B13:N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70" zoomScaleNormal="70" workbookViewId="0">
      <selection activeCell="Q14" sqref="Q14"/>
    </sheetView>
  </sheetViews>
  <sheetFormatPr defaultRowHeight="15" x14ac:dyDescent="0.25"/>
  <cols>
    <col min="1" max="1" width="16.85546875" customWidth="1"/>
    <col min="2" max="2" width="15.42578125" customWidth="1"/>
    <col min="3" max="3" width="18.140625" customWidth="1"/>
    <col min="4" max="4" width="19.28515625" customWidth="1"/>
    <col min="5" max="5" width="16.85546875" customWidth="1"/>
    <col min="6" max="6" width="19.28515625" customWidth="1"/>
    <col min="7" max="7" width="18.7109375" customWidth="1"/>
    <col min="8" max="8" width="16.85546875" customWidth="1"/>
    <col min="9" max="9" width="15.85546875" customWidth="1"/>
    <col min="10" max="10" width="18.7109375" customWidth="1"/>
    <col min="11" max="11" width="17.5703125" customWidth="1"/>
    <col min="12" max="12" width="17.140625" customWidth="1"/>
    <col min="13" max="13" width="17.28515625" customWidth="1"/>
    <col min="14" max="14" width="20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thickBot="1" x14ac:dyDescent="0.3">
      <c r="A2" s="95" t="s">
        <v>30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30" x14ac:dyDescent="0.25">
      <c r="A3" s="19" t="s">
        <v>0</v>
      </c>
      <c r="B3" s="20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x14ac:dyDescent="0.25">
      <c r="A4" s="87" t="s">
        <v>29</v>
      </c>
      <c r="B4" s="81" t="s">
        <v>28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91"/>
    </row>
    <row r="5" spans="1:14" x14ac:dyDescent="0.25">
      <c r="A5" s="88"/>
      <c r="B5" s="9" t="s">
        <v>14</v>
      </c>
      <c r="C5" s="34">
        <f>782517+2013136</f>
        <v>2795653</v>
      </c>
      <c r="D5" s="34">
        <f>1563154+698318</f>
        <v>2261472</v>
      </c>
      <c r="E5" s="10">
        <f>659440+1506260</f>
        <v>2165700</v>
      </c>
      <c r="F5" s="10">
        <f>565455+1211083</f>
        <v>1776538</v>
      </c>
      <c r="G5" s="10">
        <v>1546064</v>
      </c>
      <c r="H5" s="34">
        <f>578240+769747</f>
        <v>1347987</v>
      </c>
      <c r="I5" s="10">
        <f>832781+724771</f>
        <v>1557552</v>
      </c>
      <c r="J5" s="34">
        <f>765313+824610</f>
        <v>1589923</v>
      </c>
      <c r="K5" s="34">
        <f>535439+806940</f>
        <v>1342379</v>
      </c>
      <c r="L5" s="34">
        <f>539612+1234858</f>
        <v>1774470</v>
      </c>
      <c r="M5" s="34">
        <f>582089+1364622</f>
        <v>1946711</v>
      </c>
      <c r="N5" s="38">
        <v>2233867</v>
      </c>
    </row>
    <row r="6" spans="1:14" x14ac:dyDescent="0.25">
      <c r="A6" s="88"/>
      <c r="B6" s="9" t="s">
        <v>16</v>
      </c>
      <c r="C6" s="34">
        <f>969212+162+65578</f>
        <v>1034952</v>
      </c>
      <c r="D6" s="34">
        <v>840641</v>
      </c>
      <c r="E6" s="10">
        <v>796995</v>
      </c>
      <c r="F6" s="10">
        <v>626469</v>
      </c>
      <c r="G6" s="10">
        <v>499834</v>
      </c>
      <c r="H6" s="34">
        <v>348695</v>
      </c>
      <c r="I6" s="10">
        <v>416121</v>
      </c>
      <c r="J6" s="34">
        <v>398634</v>
      </c>
      <c r="K6" s="34">
        <v>383850</v>
      </c>
      <c r="L6" s="34">
        <v>603970</v>
      </c>
      <c r="M6" s="34">
        <v>715033</v>
      </c>
      <c r="N6" s="38">
        <v>892440</v>
      </c>
    </row>
    <row r="7" spans="1:14" x14ac:dyDescent="0.25">
      <c r="A7" s="88"/>
      <c r="B7" s="9" t="s">
        <v>17</v>
      </c>
      <c r="C7" s="34">
        <f>23812+6498</f>
        <v>30310</v>
      </c>
      <c r="D7" s="34">
        <v>22308</v>
      </c>
      <c r="E7" s="10">
        <v>23481</v>
      </c>
      <c r="F7" s="10">
        <v>19764</v>
      </c>
      <c r="G7" s="10">
        <v>20908</v>
      </c>
      <c r="H7" s="34">
        <v>17810</v>
      </c>
      <c r="I7" s="10">
        <v>14812</v>
      </c>
      <c r="J7" s="34">
        <v>16397</v>
      </c>
      <c r="K7" s="34">
        <v>24992</v>
      </c>
      <c r="L7" s="34">
        <v>30663</v>
      </c>
      <c r="M7" s="34">
        <v>34600</v>
      </c>
      <c r="N7" s="38">
        <v>33781</v>
      </c>
    </row>
    <row r="8" spans="1:14" x14ac:dyDescent="0.25">
      <c r="A8" s="88"/>
      <c r="B8" s="84" t="s">
        <v>27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96"/>
    </row>
    <row r="9" spans="1:14" x14ac:dyDescent="0.25">
      <c r="A9" s="88"/>
      <c r="B9" s="9" t="s">
        <v>14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35"/>
    </row>
    <row r="10" spans="1:14" x14ac:dyDescent="0.25">
      <c r="A10" s="88"/>
      <c r="B10" s="9" t="s">
        <v>15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35"/>
    </row>
    <row r="11" spans="1:14" x14ac:dyDescent="0.25">
      <c r="A11" s="88"/>
      <c r="B11" s="9" t="s">
        <v>16</v>
      </c>
      <c r="C11" s="34">
        <v>3341</v>
      </c>
      <c r="D11" s="34">
        <v>2525</v>
      </c>
      <c r="E11" s="10">
        <v>2258</v>
      </c>
      <c r="F11" s="10">
        <v>2659</v>
      </c>
      <c r="G11" s="10">
        <v>2911</v>
      </c>
      <c r="H11" s="34">
        <v>2134</v>
      </c>
      <c r="I11" s="10">
        <v>3112</v>
      </c>
      <c r="J11" s="34">
        <v>1825</v>
      </c>
      <c r="K11" s="34">
        <v>486</v>
      </c>
      <c r="L11" s="34">
        <v>432</v>
      </c>
      <c r="M11" s="34">
        <v>833</v>
      </c>
      <c r="N11" s="38">
        <v>613</v>
      </c>
    </row>
    <row r="12" spans="1:14" x14ac:dyDescent="0.25">
      <c r="A12" s="88"/>
      <c r="B12" s="3" t="s">
        <v>17</v>
      </c>
      <c r="C12" s="8"/>
      <c r="D12" s="8"/>
      <c r="E12" s="8"/>
      <c r="F12" s="8"/>
      <c r="G12" s="8"/>
      <c r="H12" s="8"/>
      <c r="I12" s="8"/>
      <c r="J12" s="8"/>
      <c r="K12" s="8"/>
      <c r="L12" s="13"/>
      <c r="M12" s="15"/>
      <c r="N12" s="25"/>
    </row>
    <row r="13" spans="1:14" x14ac:dyDescent="0.25">
      <c r="A13" s="89"/>
      <c r="B13" s="81" t="s">
        <v>26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91"/>
    </row>
    <row r="14" spans="1:14" x14ac:dyDescent="0.25">
      <c r="A14" s="89"/>
      <c r="B14" s="3" t="s">
        <v>14</v>
      </c>
      <c r="C14" s="31">
        <f>1.15+3.438</f>
        <v>4.5880000000000001</v>
      </c>
      <c r="D14" s="31">
        <f>3.069+1.295</f>
        <v>4.3639999999999999</v>
      </c>
      <c r="E14" s="17">
        <f>2.501+0.72</f>
        <v>3.2210000000000001</v>
      </c>
      <c r="F14" s="17">
        <f>1.121+2.161</f>
        <v>3.282</v>
      </c>
      <c r="G14" s="17">
        <v>2.798</v>
      </c>
      <c r="H14" s="31">
        <f>1.465+1.146</f>
        <v>2.6109999999999998</v>
      </c>
      <c r="I14" s="36">
        <v>1.538</v>
      </c>
      <c r="J14" s="31">
        <f>1.727+1.483</f>
        <v>3.21</v>
      </c>
      <c r="K14" s="31">
        <f>1.062+1.495</f>
        <v>2.5570000000000004</v>
      </c>
      <c r="L14" s="31">
        <f>1.938+0.96</f>
        <v>2.8979999999999997</v>
      </c>
      <c r="M14" s="40">
        <f>1.109+2.424</f>
        <v>3.5329999999999999</v>
      </c>
      <c r="N14" s="32">
        <v>3.8550000000000004</v>
      </c>
    </row>
    <row r="15" spans="1:14" x14ac:dyDescent="0.25">
      <c r="A15" s="89"/>
      <c r="B15" s="3" t="s">
        <v>16</v>
      </c>
      <c r="C15" s="31">
        <v>0.34799999999999998</v>
      </c>
      <c r="D15" s="31">
        <v>0.34899999999999998</v>
      </c>
      <c r="E15" s="17">
        <v>0.27200000000000002</v>
      </c>
      <c r="F15" s="17">
        <v>0.248</v>
      </c>
      <c r="G15" s="17">
        <v>0.219</v>
      </c>
      <c r="H15" s="31">
        <v>0.129</v>
      </c>
      <c r="I15" s="36">
        <v>0.129</v>
      </c>
      <c r="J15" s="31">
        <v>0.19400000000000001</v>
      </c>
      <c r="K15" s="31">
        <v>0.19600000000000001</v>
      </c>
      <c r="L15" s="31">
        <v>0.23300000000000001</v>
      </c>
      <c r="M15" s="31">
        <v>0.26200000000000001</v>
      </c>
      <c r="N15" s="32">
        <v>0.29399999999999998</v>
      </c>
    </row>
    <row r="16" spans="1:14" x14ac:dyDescent="0.25">
      <c r="A16" s="89"/>
      <c r="B16" s="3" t="s">
        <v>17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14"/>
      <c r="N16" s="23"/>
    </row>
    <row r="17" spans="1:14" ht="15.75" thickBot="1" x14ac:dyDescent="0.3">
      <c r="A17" s="90"/>
      <c r="B17" s="26" t="s">
        <v>18</v>
      </c>
      <c r="C17" s="37">
        <f>SUM(C5:C12)</f>
        <v>3864256</v>
      </c>
      <c r="D17" s="37">
        <f t="shared" ref="D17:M17" si="0">SUM(D5:D12)</f>
        <v>3126946</v>
      </c>
      <c r="E17" s="37">
        <f t="shared" si="0"/>
        <v>2988434</v>
      </c>
      <c r="F17" s="37">
        <f t="shared" si="0"/>
        <v>2425430</v>
      </c>
      <c r="G17" s="37">
        <f t="shared" ref="G17" si="1">SUM(G5:G12)</f>
        <v>2069717</v>
      </c>
      <c r="H17" s="37">
        <f t="shared" si="0"/>
        <v>1716626</v>
      </c>
      <c r="I17" s="37">
        <f t="shared" ref="I17:J17" si="2">SUM(I5:I12)</f>
        <v>1991597</v>
      </c>
      <c r="J17" s="37">
        <f t="shared" si="2"/>
        <v>2006779</v>
      </c>
      <c r="K17" s="37">
        <f t="shared" si="0"/>
        <v>1751707</v>
      </c>
      <c r="L17" s="37">
        <f t="shared" si="0"/>
        <v>2409535</v>
      </c>
      <c r="M17" s="37">
        <f t="shared" si="0"/>
        <v>2697177</v>
      </c>
      <c r="N17" s="39">
        <f>SUM(N5:N12)</f>
        <v>3160701</v>
      </c>
    </row>
  </sheetData>
  <mergeCells count="5">
    <mergeCell ref="A2:N2"/>
    <mergeCell ref="A4:A17"/>
    <mergeCell ref="B4:N4"/>
    <mergeCell ref="B8:N8"/>
    <mergeCell ref="B13:N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75" zoomScaleNormal="75" workbookViewId="0">
      <selection activeCell="A2" sqref="A2:N2"/>
    </sheetView>
  </sheetViews>
  <sheetFormatPr defaultRowHeight="15" x14ac:dyDescent="0.25"/>
  <cols>
    <col min="1" max="1" width="16.85546875" customWidth="1"/>
    <col min="2" max="2" width="15.42578125" customWidth="1"/>
    <col min="3" max="3" width="18.140625" customWidth="1"/>
    <col min="4" max="4" width="19.28515625" customWidth="1"/>
    <col min="5" max="5" width="16.85546875" customWidth="1"/>
    <col min="6" max="6" width="19.28515625" customWidth="1"/>
    <col min="7" max="7" width="18.7109375" customWidth="1"/>
    <col min="8" max="8" width="16.85546875" customWidth="1"/>
    <col min="9" max="9" width="15.85546875" customWidth="1"/>
    <col min="10" max="10" width="18.7109375" customWidth="1"/>
    <col min="11" max="11" width="17.5703125" customWidth="1"/>
    <col min="12" max="12" width="17.140625" customWidth="1"/>
    <col min="13" max="13" width="17.28515625" customWidth="1"/>
    <col min="14" max="14" width="20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thickBot="1" x14ac:dyDescent="0.3">
      <c r="A2" s="95" t="s">
        <v>31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30" x14ac:dyDescent="0.25">
      <c r="A3" s="43" t="s">
        <v>0</v>
      </c>
      <c r="B3" s="44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x14ac:dyDescent="0.25">
      <c r="A4" s="97" t="s">
        <v>29</v>
      </c>
      <c r="B4" s="101" t="s">
        <v>28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91"/>
    </row>
    <row r="5" spans="1:14" x14ac:dyDescent="0.25">
      <c r="A5" s="98"/>
      <c r="B5" s="45" t="s">
        <v>14</v>
      </c>
      <c r="C5" s="34">
        <f>764656+1685090</f>
        <v>2449746</v>
      </c>
      <c r="D5" s="34">
        <f>781323+1607185</f>
        <v>2388508</v>
      </c>
      <c r="E5" s="10">
        <f>754159+1584810</f>
        <v>2338969</v>
      </c>
      <c r="F5" s="10">
        <f>520511+1117416</f>
        <v>1637927</v>
      </c>
      <c r="G5" s="10">
        <f>548664+885869</f>
        <v>1434533</v>
      </c>
      <c r="H5" s="10">
        <f>692842+837017</f>
        <v>1529859</v>
      </c>
      <c r="I5" s="10">
        <f>808185+944932</f>
        <v>1753117</v>
      </c>
      <c r="J5" s="10">
        <v>966243</v>
      </c>
      <c r="K5" s="10">
        <f>734351+957190</f>
        <v>1691541</v>
      </c>
      <c r="L5" s="10">
        <f>727006+1269208</f>
        <v>1996214</v>
      </c>
      <c r="M5" s="10">
        <f>1440950+834277</f>
        <v>2275227</v>
      </c>
      <c r="N5" s="35">
        <f>966019+1863099</f>
        <v>2829118</v>
      </c>
    </row>
    <row r="6" spans="1:14" x14ac:dyDescent="0.25">
      <c r="A6" s="98"/>
      <c r="B6" s="45" t="s">
        <v>16</v>
      </c>
      <c r="C6" s="34">
        <v>908687</v>
      </c>
      <c r="D6" s="42">
        <v>988792</v>
      </c>
      <c r="E6" s="10">
        <v>973774</v>
      </c>
      <c r="F6" s="10">
        <v>557339</v>
      </c>
      <c r="G6" s="10">
        <v>357171</v>
      </c>
      <c r="H6" s="10">
        <v>315571</v>
      </c>
      <c r="I6" s="10">
        <v>365859</v>
      </c>
      <c r="J6" s="10">
        <v>329372</v>
      </c>
      <c r="K6" s="10">
        <v>387057</v>
      </c>
      <c r="L6" s="10">
        <v>555478</v>
      </c>
      <c r="M6" s="10">
        <v>676147</v>
      </c>
      <c r="N6" s="35">
        <v>885667</v>
      </c>
    </row>
    <row r="7" spans="1:14" x14ac:dyDescent="0.25">
      <c r="A7" s="98"/>
      <c r="B7" s="45" t="s">
        <v>17</v>
      </c>
      <c r="C7" s="34">
        <v>35079</v>
      </c>
      <c r="D7" s="42">
        <v>32658</v>
      </c>
      <c r="E7" s="10">
        <v>36085</v>
      </c>
      <c r="F7" s="10">
        <v>28341</v>
      </c>
      <c r="G7" s="10">
        <v>23060</v>
      </c>
      <c r="H7" s="10">
        <v>21098</v>
      </c>
      <c r="I7" s="10">
        <v>22823</v>
      </c>
      <c r="J7" s="10">
        <v>14506</v>
      </c>
      <c r="K7" s="10">
        <v>14821</v>
      </c>
      <c r="L7" s="10">
        <v>17691</v>
      </c>
      <c r="M7" s="10">
        <v>24705</v>
      </c>
      <c r="N7" s="35">
        <v>25100</v>
      </c>
    </row>
    <row r="8" spans="1:14" x14ac:dyDescent="0.25">
      <c r="A8" s="98"/>
      <c r="B8" s="102" t="s">
        <v>27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96"/>
    </row>
    <row r="9" spans="1:14" x14ac:dyDescent="0.25">
      <c r="A9" s="98"/>
      <c r="B9" s="45" t="s">
        <v>14</v>
      </c>
      <c r="C9" s="10">
        <v>743</v>
      </c>
      <c r="D9" s="46">
        <v>602</v>
      </c>
      <c r="E9" s="10">
        <v>618</v>
      </c>
      <c r="F9" s="10">
        <v>555</v>
      </c>
      <c r="G9" s="10">
        <v>483</v>
      </c>
      <c r="H9" s="10">
        <v>425</v>
      </c>
      <c r="I9" s="10">
        <v>313</v>
      </c>
      <c r="J9" s="10">
        <v>287</v>
      </c>
      <c r="K9" s="10">
        <v>388</v>
      </c>
      <c r="L9" s="10">
        <v>626</v>
      </c>
      <c r="M9" s="10">
        <v>478</v>
      </c>
      <c r="N9" s="35">
        <v>475</v>
      </c>
    </row>
    <row r="10" spans="1:14" x14ac:dyDescent="0.25">
      <c r="A10" s="98"/>
      <c r="B10" s="45" t="s">
        <v>15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35"/>
    </row>
    <row r="11" spans="1:14" x14ac:dyDescent="0.25">
      <c r="A11" s="98"/>
      <c r="B11" s="45" t="s">
        <v>16</v>
      </c>
      <c r="C11" s="34"/>
      <c r="D11" s="34"/>
      <c r="E11" s="10"/>
      <c r="F11" s="10"/>
      <c r="G11" s="10"/>
      <c r="H11" s="34"/>
      <c r="I11" s="10"/>
      <c r="J11" s="34"/>
      <c r="K11" s="34"/>
      <c r="L11" s="34"/>
      <c r="M11" s="34"/>
      <c r="N11" s="38"/>
    </row>
    <row r="12" spans="1:14" x14ac:dyDescent="0.25">
      <c r="A12" s="98"/>
      <c r="B12" s="47" t="s">
        <v>17</v>
      </c>
      <c r="C12" s="8"/>
      <c r="D12" s="8"/>
      <c r="E12" s="8"/>
      <c r="F12" s="8"/>
      <c r="G12" s="8"/>
      <c r="H12" s="8"/>
      <c r="I12" s="8"/>
      <c r="J12" s="8"/>
      <c r="K12" s="8"/>
      <c r="L12" s="13"/>
      <c r="M12" s="15"/>
      <c r="N12" s="25"/>
    </row>
    <row r="13" spans="1:14" x14ac:dyDescent="0.25">
      <c r="A13" s="99"/>
      <c r="B13" s="101" t="s">
        <v>26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91"/>
    </row>
    <row r="14" spans="1:14" x14ac:dyDescent="0.25">
      <c r="A14" s="99"/>
      <c r="B14" s="47" t="s">
        <v>14</v>
      </c>
      <c r="C14" s="31">
        <f>1.181+3.163</f>
        <v>4.3439999999999994</v>
      </c>
      <c r="D14" s="41">
        <f>1.272+3.03</f>
        <v>4.3019999999999996</v>
      </c>
      <c r="E14" s="17">
        <f>0.843+2.779</f>
        <v>3.6219999999999999</v>
      </c>
      <c r="F14" s="17">
        <f>1.033+2.092</f>
        <v>3.125</v>
      </c>
      <c r="G14" s="17">
        <f>1.03+1.685</f>
        <v>2.7149999999999999</v>
      </c>
      <c r="H14" s="17">
        <f>1.338+1.525</f>
        <v>2.863</v>
      </c>
      <c r="I14" s="17">
        <f>1.638+1.668</f>
        <v>3.306</v>
      </c>
      <c r="J14" s="17">
        <f>1.758+2.066</f>
        <v>3.8239999999999998</v>
      </c>
      <c r="K14" s="17">
        <f>1.376+1.778</f>
        <v>3.1539999999999999</v>
      </c>
      <c r="L14" s="17">
        <f>1.241+2.008</f>
        <v>3.2490000000000001</v>
      </c>
      <c r="M14" s="17">
        <f>2.544+1.545</f>
        <v>4.0890000000000004</v>
      </c>
      <c r="N14" s="48">
        <f>1.53+3.158</f>
        <v>4.6879999999999997</v>
      </c>
    </row>
    <row r="15" spans="1:14" x14ac:dyDescent="0.25">
      <c r="A15" s="99"/>
      <c r="B15" s="47" t="s">
        <v>16</v>
      </c>
      <c r="C15" s="31">
        <v>0.312</v>
      </c>
      <c r="D15" s="46">
        <v>0.33500000000000002</v>
      </c>
      <c r="E15" s="17">
        <v>0.34399999999999997</v>
      </c>
      <c r="F15" s="17">
        <v>0.217</v>
      </c>
      <c r="G15" s="17">
        <v>0.16700000000000001</v>
      </c>
      <c r="H15" s="17">
        <v>0.111</v>
      </c>
      <c r="I15" s="17">
        <v>0.11600000000000001</v>
      </c>
      <c r="J15" s="17">
        <v>0.17899999999999999</v>
      </c>
      <c r="K15" s="17">
        <v>0.19800000000000001</v>
      </c>
      <c r="L15" s="17">
        <v>0.24299999999999999</v>
      </c>
      <c r="M15" s="17">
        <v>0.27800000000000002</v>
      </c>
      <c r="N15" s="48">
        <v>0.35</v>
      </c>
    </row>
    <row r="16" spans="1:14" x14ac:dyDescent="0.25">
      <c r="A16" s="99"/>
      <c r="B16" s="47" t="s">
        <v>17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14"/>
      <c r="N16" s="23"/>
    </row>
    <row r="17" spans="1:14" ht="15.75" thickBot="1" x14ac:dyDescent="0.3">
      <c r="A17" s="100"/>
      <c r="B17" s="49" t="s">
        <v>18</v>
      </c>
      <c r="C17" s="37">
        <f>SUM(C5:C12)</f>
        <v>3394255</v>
      </c>
      <c r="D17" s="37">
        <f>SUM(D5:D12)</f>
        <v>3410560</v>
      </c>
      <c r="E17" s="37">
        <f t="shared" ref="E17:M17" si="0">SUM(E5:E12)</f>
        <v>3349446</v>
      </c>
      <c r="F17" s="37">
        <f t="shared" si="0"/>
        <v>2224162</v>
      </c>
      <c r="G17" s="37">
        <f t="shared" si="0"/>
        <v>1815247</v>
      </c>
      <c r="H17" s="37">
        <f t="shared" si="0"/>
        <v>1866953</v>
      </c>
      <c r="I17" s="37">
        <f t="shared" si="0"/>
        <v>2142112</v>
      </c>
      <c r="J17" s="37">
        <f t="shared" si="0"/>
        <v>1310408</v>
      </c>
      <c r="K17" s="37">
        <f t="shared" si="0"/>
        <v>2093807</v>
      </c>
      <c r="L17" s="37">
        <f t="shared" si="0"/>
        <v>2570009</v>
      </c>
      <c r="M17" s="37">
        <f t="shared" si="0"/>
        <v>2976557</v>
      </c>
      <c r="N17" s="39">
        <f>SUM(N5:N12)</f>
        <v>3740360</v>
      </c>
    </row>
  </sheetData>
  <mergeCells count="5">
    <mergeCell ref="A2:N2"/>
    <mergeCell ref="A4:A17"/>
    <mergeCell ref="B4:N4"/>
    <mergeCell ref="B8:N8"/>
    <mergeCell ref="B13:N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zoomScale="75" zoomScaleNormal="75" workbookViewId="0">
      <selection activeCell="A2" sqref="A2:N2"/>
    </sheetView>
  </sheetViews>
  <sheetFormatPr defaultRowHeight="15" x14ac:dyDescent="0.25"/>
  <cols>
    <col min="1" max="1" width="16.85546875" customWidth="1"/>
    <col min="2" max="2" width="15.42578125" customWidth="1"/>
    <col min="3" max="3" width="18.140625" customWidth="1"/>
    <col min="4" max="4" width="19.28515625" customWidth="1"/>
    <col min="5" max="5" width="16.85546875" customWidth="1"/>
    <col min="6" max="6" width="19.28515625" customWidth="1"/>
    <col min="7" max="7" width="18.7109375" customWidth="1"/>
    <col min="8" max="8" width="16.85546875" customWidth="1"/>
    <col min="9" max="9" width="15.85546875" customWidth="1"/>
    <col min="10" max="10" width="18.7109375" customWidth="1"/>
    <col min="11" max="11" width="17.5703125" customWidth="1"/>
    <col min="12" max="12" width="17.140625" customWidth="1"/>
    <col min="13" max="13" width="17.28515625" customWidth="1"/>
    <col min="14" max="14" width="20.42578125" customWidth="1"/>
    <col min="15" max="15" width="0" style="64" hidden="1" customWidth="1"/>
    <col min="17" max="17" width="16.85546875" style="56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15.75" thickBot="1" x14ac:dyDescent="0.3">
      <c r="A2" s="95" t="s">
        <v>33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7" ht="30" x14ac:dyDescent="0.25">
      <c r="A3" s="43" t="s">
        <v>0</v>
      </c>
      <c r="B3" s="44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7" x14ac:dyDescent="0.25">
      <c r="A4" s="97" t="s">
        <v>29</v>
      </c>
      <c r="B4" s="101" t="s">
        <v>34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91"/>
    </row>
    <row r="5" spans="1:17" x14ac:dyDescent="0.25">
      <c r="A5" s="98"/>
      <c r="B5" s="45" t="s">
        <v>14</v>
      </c>
      <c r="C5" s="50">
        <f>1104532+2476478</f>
        <v>3581010</v>
      </c>
      <c r="D5" s="50">
        <f>865808+1594981</f>
        <v>2460789</v>
      </c>
      <c r="E5" s="50">
        <f>1510852+886077</f>
        <v>2396929</v>
      </c>
      <c r="F5" s="50">
        <f>1151562+754695</f>
        <v>1906257</v>
      </c>
      <c r="G5" s="50">
        <f>803507+975914</f>
        <v>1779421</v>
      </c>
      <c r="H5" s="50">
        <f>891960+819276</f>
        <v>1711236</v>
      </c>
      <c r="I5" s="10">
        <f>854276+855339</f>
        <v>1709615</v>
      </c>
      <c r="J5" s="10">
        <f>915157+854213</f>
        <v>1769370</v>
      </c>
      <c r="K5" s="10">
        <f>733481+936129</f>
        <v>1669610</v>
      </c>
      <c r="L5" s="10">
        <f>719298+1172375</f>
        <v>1891673</v>
      </c>
      <c r="M5" s="10">
        <f>821941+1219999</f>
        <v>2041940</v>
      </c>
      <c r="N5" s="35">
        <f>914432+1262498</f>
        <v>2176930</v>
      </c>
      <c r="O5" s="65">
        <f>N5/M5</f>
        <v>1.0661087005494774</v>
      </c>
      <c r="Q5" s="53">
        <f>AVERAGE(C5:N5)</f>
        <v>2091231.6666666667</v>
      </c>
    </row>
    <row r="6" spans="1:17" x14ac:dyDescent="0.25">
      <c r="A6" s="98"/>
      <c r="B6" s="45" t="s">
        <v>16</v>
      </c>
      <c r="C6" s="50">
        <v>987526</v>
      </c>
      <c r="D6" s="50">
        <v>792051</v>
      </c>
      <c r="E6" s="50">
        <v>740329</v>
      </c>
      <c r="F6" s="50">
        <v>507134</v>
      </c>
      <c r="G6" s="50">
        <v>395744</v>
      </c>
      <c r="H6" s="50">
        <v>309370</v>
      </c>
      <c r="I6" s="10">
        <v>397067</v>
      </c>
      <c r="J6" s="10">
        <v>387171</v>
      </c>
      <c r="K6" s="10">
        <v>401029</v>
      </c>
      <c r="L6" s="10">
        <v>532857</v>
      </c>
      <c r="M6" s="10">
        <v>651931</v>
      </c>
      <c r="N6" s="35">
        <v>797907</v>
      </c>
      <c r="O6" s="64">
        <f t="shared" ref="O6:O7" si="0">N6/M6</f>
        <v>1.2239132668948094</v>
      </c>
      <c r="Q6" s="53">
        <f t="shared" ref="Q6:Q15" si="1">AVERAGE(C6:N6)</f>
        <v>575009.66666666663</v>
      </c>
    </row>
    <row r="7" spans="1:17" x14ac:dyDescent="0.25">
      <c r="A7" s="98"/>
      <c r="B7" s="45" t="s">
        <v>17</v>
      </c>
      <c r="C7" s="50">
        <v>32209</v>
      </c>
      <c r="D7" s="50">
        <v>25032</v>
      </c>
      <c r="E7" s="50">
        <v>22966</v>
      </c>
      <c r="F7" s="50">
        <v>19443</v>
      </c>
      <c r="G7" s="50">
        <v>14108</v>
      </c>
      <c r="H7" s="50">
        <v>13381</v>
      </c>
      <c r="I7" s="10">
        <v>14314</v>
      </c>
      <c r="J7" s="10">
        <v>13466</v>
      </c>
      <c r="K7" s="10">
        <v>13243</v>
      </c>
      <c r="L7" s="10">
        <v>19482</v>
      </c>
      <c r="M7" s="10">
        <v>24418</v>
      </c>
      <c r="N7" s="35">
        <v>26072</v>
      </c>
      <c r="O7" s="64">
        <f t="shared" si="0"/>
        <v>1.0677369153902858</v>
      </c>
      <c r="Q7" s="53">
        <f t="shared" si="1"/>
        <v>19844.5</v>
      </c>
    </row>
    <row r="8" spans="1:17" x14ac:dyDescent="0.25">
      <c r="A8" s="98"/>
      <c r="B8" s="102" t="s">
        <v>35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96"/>
      <c r="Q8" s="53"/>
    </row>
    <row r="9" spans="1:17" x14ac:dyDescent="0.25">
      <c r="A9" s="98"/>
      <c r="B9" s="45" t="s">
        <v>14</v>
      </c>
      <c r="C9" s="51">
        <v>492</v>
      </c>
      <c r="D9" s="51">
        <v>359</v>
      </c>
      <c r="E9" s="51">
        <v>468</v>
      </c>
      <c r="F9" s="51">
        <v>429</v>
      </c>
      <c r="G9" s="51">
        <v>410</v>
      </c>
      <c r="H9" s="51">
        <v>349</v>
      </c>
      <c r="I9" s="10">
        <v>446</v>
      </c>
      <c r="J9" s="10">
        <v>265</v>
      </c>
      <c r="K9" s="10">
        <v>253</v>
      </c>
      <c r="L9" s="10">
        <v>5910</v>
      </c>
      <c r="M9" s="10">
        <v>6504</v>
      </c>
      <c r="N9" s="35">
        <v>6605</v>
      </c>
      <c r="O9" s="64">
        <f>N9/M9</f>
        <v>1.0155289052890528</v>
      </c>
      <c r="Q9" s="53">
        <f t="shared" si="1"/>
        <v>1874.1666666666667</v>
      </c>
    </row>
    <row r="10" spans="1:17" x14ac:dyDescent="0.25">
      <c r="A10" s="98"/>
      <c r="B10" s="45" t="s">
        <v>15</v>
      </c>
      <c r="C10" s="5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35"/>
      <c r="Q10" s="53"/>
    </row>
    <row r="11" spans="1:17" x14ac:dyDescent="0.25">
      <c r="A11" s="98"/>
      <c r="B11" s="45" t="s">
        <v>16</v>
      </c>
      <c r="C11" s="50"/>
      <c r="D11" s="34"/>
      <c r="E11" s="10"/>
      <c r="F11" s="10"/>
      <c r="G11" s="10"/>
      <c r="H11" s="34"/>
      <c r="I11" s="10"/>
      <c r="J11" s="34"/>
      <c r="K11" s="34"/>
      <c r="L11" s="34"/>
      <c r="M11" s="34"/>
      <c r="N11" s="38"/>
      <c r="Q11" s="53"/>
    </row>
    <row r="12" spans="1:17" x14ac:dyDescent="0.25">
      <c r="A12" s="98"/>
      <c r="B12" s="47" t="s">
        <v>17</v>
      </c>
      <c r="C12" s="51"/>
      <c r="D12" s="8"/>
      <c r="E12" s="8"/>
      <c r="F12" s="8"/>
      <c r="G12" s="8"/>
      <c r="H12" s="8"/>
      <c r="I12" s="8"/>
      <c r="J12" s="8"/>
      <c r="K12" s="8"/>
      <c r="L12" s="13"/>
      <c r="M12" s="15"/>
      <c r="N12" s="25"/>
      <c r="Q12" s="53"/>
    </row>
    <row r="13" spans="1:17" x14ac:dyDescent="0.25">
      <c r="A13" s="99"/>
      <c r="B13" s="101" t="s">
        <v>26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91"/>
      <c r="Q13" s="53"/>
    </row>
    <row r="14" spans="1:17" x14ac:dyDescent="0.25">
      <c r="A14" s="99"/>
      <c r="B14" s="47" t="s">
        <v>14</v>
      </c>
      <c r="C14" s="52">
        <f>1.623+4.35</f>
        <v>5.9729999999999999</v>
      </c>
      <c r="D14" s="52">
        <f>1.777+3.04</f>
        <v>4.8170000000000002</v>
      </c>
      <c r="E14" s="52">
        <f>2.657+1.244</f>
        <v>3.9009999999999998</v>
      </c>
      <c r="F14" s="52">
        <f>1.873+1.564</f>
        <v>3.4370000000000003</v>
      </c>
      <c r="G14" s="52">
        <f>1.271+1.803</f>
        <v>3.0739999999999998</v>
      </c>
      <c r="H14" s="52">
        <f>2.362+1.52</f>
        <v>3.8820000000000001</v>
      </c>
      <c r="I14" s="17">
        <f>1.878+1.467</f>
        <v>3.3449999999999998</v>
      </c>
      <c r="J14" s="17">
        <f>2.21+1.543</f>
        <v>3.7530000000000001</v>
      </c>
      <c r="K14" s="17">
        <f>1.705+1.45</f>
        <v>3.1550000000000002</v>
      </c>
      <c r="L14" s="17">
        <f>1.816+1.365</f>
        <v>3.181</v>
      </c>
      <c r="M14" s="17">
        <f>1.66+2.165</f>
        <v>3.8250000000000002</v>
      </c>
      <c r="N14" s="48">
        <f>2.344+1.737</f>
        <v>4.0809999999999995</v>
      </c>
      <c r="O14" s="64">
        <f t="shared" ref="O14:O15" si="2">N14/M14</f>
        <v>1.0669281045751633</v>
      </c>
      <c r="Q14" s="53">
        <f t="shared" si="1"/>
        <v>3.8686666666666674</v>
      </c>
    </row>
    <row r="15" spans="1:17" x14ac:dyDescent="0.25">
      <c r="A15" s="99"/>
      <c r="B15" s="47" t="s">
        <v>16</v>
      </c>
      <c r="C15" s="52">
        <v>0.40100000000000002</v>
      </c>
      <c r="D15" s="52">
        <v>0.33200000000000002</v>
      </c>
      <c r="E15" s="52">
        <v>0.27900000000000003</v>
      </c>
      <c r="F15" s="52">
        <v>0.155</v>
      </c>
      <c r="G15" s="52">
        <v>0.154</v>
      </c>
      <c r="H15" s="52">
        <v>0.106</v>
      </c>
      <c r="I15" s="17">
        <v>0.105</v>
      </c>
      <c r="J15" s="17">
        <v>0.13500000000000001</v>
      </c>
      <c r="K15" s="17">
        <v>0.17100000000000001</v>
      </c>
      <c r="L15" s="17">
        <v>0.214</v>
      </c>
      <c r="M15" s="17">
        <v>0.27300000000000002</v>
      </c>
      <c r="N15" s="48">
        <v>0.311</v>
      </c>
      <c r="O15" s="64">
        <f t="shared" si="2"/>
        <v>1.1391941391941391</v>
      </c>
      <c r="Q15" s="53">
        <f t="shared" si="1"/>
        <v>0.21966666666666668</v>
      </c>
    </row>
    <row r="16" spans="1:17" x14ac:dyDescent="0.25">
      <c r="A16" s="99"/>
      <c r="B16" s="47" t="s">
        <v>17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14"/>
      <c r="N16" s="23"/>
      <c r="Q16" s="53"/>
    </row>
    <row r="17" spans="1:14" ht="15.75" thickBot="1" x14ac:dyDescent="0.3">
      <c r="A17" s="100"/>
      <c r="B17" s="49" t="s">
        <v>18</v>
      </c>
      <c r="C17" s="37">
        <f>SUM(C5:C12)</f>
        <v>4601237</v>
      </c>
      <c r="D17" s="37">
        <f>SUM(D5:D12)</f>
        <v>3278231</v>
      </c>
      <c r="E17" s="37">
        <f t="shared" ref="E17:M17" si="3">SUM(E5:E12)</f>
        <v>3160692</v>
      </c>
      <c r="F17" s="37">
        <f t="shared" si="3"/>
        <v>2433263</v>
      </c>
      <c r="G17" s="37">
        <f t="shared" si="3"/>
        <v>2189683</v>
      </c>
      <c r="H17" s="37">
        <f t="shared" si="3"/>
        <v>2034336</v>
      </c>
      <c r="I17" s="37">
        <f t="shared" si="3"/>
        <v>2121442</v>
      </c>
      <c r="J17" s="37">
        <f t="shared" si="3"/>
        <v>2170272</v>
      </c>
      <c r="K17" s="37">
        <f t="shared" si="3"/>
        <v>2084135</v>
      </c>
      <c r="L17" s="37">
        <f t="shared" si="3"/>
        <v>2449922</v>
      </c>
      <c r="M17" s="37">
        <f t="shared" si="3"/>
        <v>2724793</v>
      </c>
      <c r="N17" s="39">
        <f>SUM(N5:N12)</f>
        <v>3007514</v>
      </c>
    </row>
  </sheetData>
  <mergeCells count="5">
    <mergeCell ref="A2:N2"/>
    <mergeCell ref="A4:A17"/>
    <mergeCell ref="B4:N4"/>
    <mergeCell ref="B8:N8"/>
    <mergeCell ref="B13:N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zoomScale="75" zoomScaleNormal="75" workbookViewId="0">
      <selection activeCell="W14" sqref="W14:W15"/>
    </sheetView>
  </sheetViews>
  <sheetFormatPr defaultRowHeight="15" x14ac:dyDescent="0.25"/>
  <cols>
    <col min="1" max="1" width="16.85546875" customWidth="1"/>
    <col min="2" max="2" width="15.42578125" customWidth="1"/>
    <col min="3" max="3" width="18.140625" customWidth="1"/>
    <col min="4" max="4" width="19.28515625" customWidth="1"/>
    <col min="5" max="5" width="16.85546875" customWidth="1"/>
    <col min="6" max="6" width="19.28515625" customWidth="1"/>
    <col min="7" max="7" width="19.28515625" hidden="1" customWidth="1"/>
    <col min="8" max="8" width="18.7109375" customWidth="1"/>
    <col min="9" max="9" width="18.7109375" hidden="1" customWidth="1"/>
    <col min="10" max="10" width="16.85546875" customWidth="1"/>
    <col min="11" max="11" width="16.85546875" hidden="1" customWidth="1"/>
    <col min="12" max="12" width="15.85546875" customWidth="1"/>
    <col min="13" max="13" width="15.85546875" hidden="1" customWidth="1"/>
    <col min="14" max="14" width="18.7109375" customWidth="1"/>
    <col min="15" max="15" width="18.7109375" hidden="1" customWidth="1"/>
    <col min="16" max="16" width="17.5703125" customWidth="1"/>
    <col min="17" max="17" width="17.5703125" hidden="1" customWidth="1"/>
    <col min="18" max="18" width="17.140625" customWidth="1"/>
    <col min="19" max="19" width="17.140625" hidden="1" customWidth="1"/>
    <col min="20" max="20" width="17.28515625" customWidth="1"/>
    <col min="21" max="21" width="17.28515625" hidden="1" customWidth="1"/>
    <col min="22" max="22" width="20.42578125" customWidth="1"/>
    <col min="23" max="23" width="12.85546875" style="56" bestFit="1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5.75" thickBot="1" x14ac:dyDescent="0.3">
      <c r="A2" s="95" t="s">
        <v>36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3" ht="30" x14ac:dyDescent="0.25">
      <c r="A3" s="43" t="s">
        <v>0</v>
      </c>
      <c r="B3" s="44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/>
      <c r="H3" s="21" t="s">
        <v>6</v>
      </c>
      <c r="I3" s="21"/>
      <c r="J3" s="21" t="s">
        <v>7</v>
      </c>
      <c r="K3" s="21"/>
      <c r="L3" s="21" t="s">
        <v>8</v>
      </c>
      <c r="M3" s="21"/>
      <c r="N3" s="21" t="s">
        <v>9</v>
      </c>
      <c r="O3" s="21"/>
      <c r="P3" s="21" t="s">
        <v>10</v>
      </c>
      <c r="Q3" s="21"/>
      <c r="R3" s="21" t="s">
        <v>11</v>
      </c>
      <c r="S3" s="21"/>
      <c r="T3" s="21" t="s">
        <v>12</v>
      </c>
      <c r="U3" s="57"/>
      <c r="V3" s="22" t="s">
        <v>13</v>
      </c>
    </row>
    <row r="4" spans="1:23" x14ac:dyDescent="0.25">
      <c r="A4" s="97" t="s">
        <v>29</v>
      </c>
      <c r="B4" s="101" t="s">
        <v>34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91"/>
    </row>
    <row r="5" spans="1:23" x14ac:dyDescent="0.25">
      <c r="A5" s="98"/>
      <c r="B5" s="45" t="s">
        <v>14</v>
      </c>
      <c r="C5" s="50">
        <f>905729+1351168</f>
        <v>2256897</v>
      </c>
      <c r="D5" s="50">
        <f>905728+1397340</f>
        <v>2303068</v>
      </c>
      <c r="E5" s="50">
        <f>956862+1431438</f>
        <v>2388300</v>
      </c>
      <c r="F5" s="50">
        <f>471715+1148108</f>
        <v>1619823</v>
      </c>
      <c r="G5" s="50">
        <v>0.93346332629860507</v>
      </c>
      <c r="H5" s="50">
        <f>656346+949208</f>
        <v>1605554</v>
      </c>
      <c r="I5" s="50">
        <v>0.9616813559017231</v>
      </c>
      <c r="J5" s="50">
        <f>952768+790127</f>
        <v>1742895</v>
      </c>
      <c r="K5" s="50">
        <v>0.99905273147596241</v>
      </c>
      <c r="L5" s="10">
        <f>1036301+835004</f>
        <v>1871305</v>
      </c>
      <c r="M5" s="10">
        <v>1.0349523138250425</v>
      </c>
      <c r="N5" s="10">
        <f>1059963+876529</f>
        <v>1936492</v>
      </c>
      <c r="O5" s="10">
        <v>0.94361835003419292</v>
      </c>
      <c r="P5" s="10">
        <f>881006+868650</f>
        <v>1749656</v>
      </c>
      <c r="Q5" s="10">
        <v>1.1330029168488449</v>
      </c>
      <c r="R5" s="10">
        <f>823774+1069783</f>
        <v>1893557</v>
      </c>
      <c r="S5" s="10">
        <v>1.0794360336062312</v>
      </c>
      <c r="T5" s="10">
        <f>909379+1230903</f>
        <v>2140282</v>
      </c>
      <c r="U5" s="58">
        <v>1.0661087005494774</v>
      </c>
      <c r="V5" s="35">
        <f>1117157+1488718</f>
        <v>2605875</v>
      </c>
      <c r="W5" s="53">
        <f>'2021'!C5/'2020'!V5</f>
        <v>1.2143717561279801</v>
      </c>
    </row>
    <row r="6" spans="1:23" x14ac:dyDescent="0.25">
      <c r="A6" s="98"/>
      <c r="B6" s="45" t="s">
        <v>16</v>
      </c>
      <c r="C6" s="50">
        <v>745953</v>
      </c>
      <c r="D6" s="50">
        <v>727180</v>
      </c>
      <c r="E6" s="50">
        <v>712538</v>
      </c>
      <c r="F6" s="50">
        <v>609944</v>
      </c>
      <c r="G6" s="50">
        <v>0.78035391040632263</v>
      </c>
      <c r="H6" s="50">
        <v>453220</v>
      </c>
      <c r="I6" s="50">
        <v>0.78174274278321343</v>
      </c>
      <c r="J6" s="50">
        <v>307388</v>
      </c>
      <c r="K6" s="50">
        <v>1.2834696318324337</v>
      </c>
      <c r="L6" s="10">
        <v>313709</v>
      </c>
      <c r="M6" s="10">
        <v>0.97507725396469613</v>
      </c>
      <c r="N6" s="10">
        <v>315281</v>
      </c>
      <c r="O6" s="10">
        <v>1.0357929700313298</v>
      </c>
      <c r="P6" s="10">
        <v>329749</v>
      </c>
      <c r="Q6" s="10">
        <v>1.3287243565926654</v>
      </c>
      <c r="R6" s="10">
        <v>533658</v>
      </c>
      <c r="S6" s="10">
        <v>1.22346333068722</v>
      </c>
      <c r="T6" s="10">
        <v>645744</v>
      </c>
      <c r="U6" s="58">
        <v>1.2239132668948094</v>
      </c>
      <c r="V6" s="35">
        <v>827643</v>
      </c>
      <c r="W6" s="56">
        <f>'2021'!C6/'2020'!V6</f>
        <v>1.0325297259808879</v>
      </c>
    </row>
    <row r="7" spans="1:23" x14ac:dyDescent="0.25">
      <c r="A7" s="98"/>
      <c r="B7" s="45" t="s">
        <v>17</v>
      </c>
      <c r="C7" s="50">
        <v>26378</v>
      </c>
      <c r="D7" s="50">
        <v>33419</v>
      </c>
      <c r="E7" s="50">
        <v>26061</v>
      </c>
      <c r="F7" s="50">
        <v>19007</v>
      </c>
      <c r="G7" s="50">
        <v>0.72560818803682559</v>
      </c>
      <c r="H7" s="50">
        <v>16159</v>
      </c>
      <c r="I7" s="50">
        <v>0.94846895378508644</v>
      </c>
      <c r="J7" s="50">
        <v>14347</v>
      </c>
      <c r="K7" s="50">
        <v>1.0697257305134145</v>
      </c>
      <c r="L7" s="10">
        <v>12834</v>
      </c>
      <c r="M7" s="10">
        <v>0.94075730054492102</v>
      </c>
      <c r="N7" s="10">
        <v>15538</v>
      </c>
      <c r="O7" s="10">
        <v>0.98343977424624984</v>
      </c>
      <c r="P7" s="10">
        <v>12974</v>
      </c>
      <c r="Q7" s="10">
        <v>1.4711168164313222</v>
      </c>
      <c r="R7" s="10">
        <v>18646</v>
      </c>
      <c r="S7" s="10">
        <v>1.2533620778154193</v>
      </c>
      <c r="T7" s="10">
        <v>20867</v>
      </c>
      <c r="U7" s="58">
        <v>1.0677369153902858</v>
      </c>
      <c r="V7" s="35">
        <v>26507</v>
      </c>
      <c r="W7" s="56">
        <f>'2021'!C7/'2020'!V7</f>
        <v>0.91466405100539483</v>
      </c>
    </row>
    <row r="8" spans="1:23" x14ac:dyDescent="0.25">
      <c r="A8" s="98"/>
      <c r="B8" s="102" t="s">
        <v>35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96"/>
    </row>
    <row r="9" spans="1:23" x14ac:dyDescent="0.25">
      <c r="A9" s="98"/>
      <c r="B9" s="45" t="s">
        <v>14</v>
      </c>
      <c r="C9" s="51">
        <v>9358</v>
      </c>
      <c r="D9" s="51">
        <v>7043</v>
      </c>
      <c r="E9" s="51">
        <v>6817</v>
      </c>
      <c r="F9" s="51">
        <v>6693</v>
      </c>
      <c r="G9" s="51">
        <v>0.95571095571095566</v>
      </c>
      <c r="H9" s="51">
        <v>6721</v>
      </c>
      <c r="I9" s="51">
        <v>0.85121951219512193</v>
      </c>
      <c r="J9" s="51">
        <v>5275</v>
      </c>
      <c r="K9" s="51">
        <v>1.2779369627507164</v>
      </c>
      <c r="L9" s="10">
        <v>5934</v>
      </c>
      <c r="M9" s="10">
        <v>0.594170403587444</v>
      </c>
      <c r="N9" s="10">
        <v>5964</v>
      </c>
      <c r="O9" s="10">
        <v>0.95471698113207548</v>
      </c>
      <c r="P9" s="10">
        <v>7677</v>
      </c>
      <c r="Q9" s="10">
        <v>23.359683794466402</v>
      </c>
      <c r="R9" s="10">
        <v>9125</v>
      </c>
      <c r="S9" s="10">
        <v>1.100507614213198</v>
      </c>
      <c r="T9" s="10">
        <v>8182</v>
      </c>
      <c r="U9" s="58">
        <v>1.0155289052890528</v>
      </c>
      <c r="V9" s="35">
        <v>8869</v>
      </c>
      <c r="W9" s="56">
        <f>'2021'!C9/'2020'!V9</f>
        <v>0.93099560266095394</v>
      </c>
    </row>
    <row r="10" spans="1:23" x14ac:dyDescent="0.25">
      <c r="A10" s="98"/>
      <c r="B10" s="45" t="s">
        <v>15</v>
      </c>
      <c r="C10" s="5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58"/>
      <c r="V10" s="35"/>
    </row>
    <row r="11" spans="1:23" x14ac:dyDescent="0.25">
      <c r="A11" s="98"/>
      <c r="B11" s="45" t="s">
        <v>16</v>
      </c>
      <c r="C11" s="50"/>
      <c r="D11" s="34"/>
      <c r="E11" s="10"/>
      <c r="F11" s="10"/>
      <c r="G11" s="10"/>
      <c r="H11" s="10"/>
      <c r="I11" s="10"/>
      <c r="J11" s="34"/>
      <c r="K11" s="34"/>
      <c r="L11" s="10"/>
      <c r="M11" s="10"/>
      <c r="N11" s="34"/>
      <c r="O11" s="34"/>
      <c r="P11" s="34"/>
      <c r="Q11" s="34"/>
      <c r="R11" s="34"/>
      <c r="S11" s="34"/>
      <c r="T11" s="34"/>
      <c r="U11" s="59"/>
      <c r="V11" s="38"/>
    </row>
    <row r="12" spans="1:23" x14ac:dyDescent="0.25">
      <c r="A12" s="98"/>
      <c r="B12" s="47" t="s">
        <v>17</v>
      </c>
      <c r="C12" s="5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3"/>
      <c r="S12" s="13"/>
      <c r="T12" s="15"/>
      <c r="U12" s="60"/>
      <c r="V12" s="25"/>
    </row>
    <row r="13" spans="1:23" x14ac:dyDescent="0.25">
      <c r="A13" s="99"/>
      <c r="B13" s="101" t="s">
        <v>26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91"/>
    </row>
    <row r="14" spans="1:23" x14ac:dyDescent="0.25">
      <c r="A14" s="99"/>
      <c r="B14" s="47" t="s">
        <v>14</v>
      </c>
      <c r="C14" s="52">
        <f>1.749+2.421</f>
        <v>4.17</v>
      </c>
      <c r="D14" s="52">
        <f>2.671+1.909</f>
        <v>4.58</v>
      </c>
      <c r="E14" s="52">
        <f>2.498+1.883</f>
        <v>4.3810000000000002</v>
      </c>
      <c r="F14" s="52">
        <f>0.972+1.949</f>
        <v>2.9210000000000003</v>
      </c>
      <c r="G14" s="52">
        <v>0.89438463776549304</v>
      </c>
      <c r="H14" s="52">
        <f>1.253+1.713</f>
        <v>2.9660000000000002</v>
      </c>
      <c r="I14" s="52">
        <v>1.262849707221861</v>
      </c>
      <c r="J14" s="52">
        <f>2.104+1.38</f>
        <v>3.484</v>
      </c>
      <c r="K14" s="52">
        <v>0.86166924265842337</v>
      </c>
      <c r="L14" s="17">
        <f>2.222+1.391</f>
        <v>3.613</v>
      </c>
      <c r="M14" s="10">
        <v>1.1219730941704038</v>
      </c>
      <c r="N14" s="17">
        <f>1.567+2.218</f>
        <v>3.7850000000000001</v>
      </c>
      <c r="O14" s="17">
        <v>0.84066080468958171</v>
      </c>
      <c r="P14" s="17">
        <f>1.581+1.715</f>
        <v>3.2960000000000003</v>
      </c>
      <c r="Q14" s="17">
        <v>1.00824088748019</v>
      </c>
      <c r="R14" s="17">
        <f>1.684+1.721</f>
        <v>3.4050000000000002</v>
      </c>
      <c r="S14" s="17">
        <v>1.2024520591009118</v>
      </c>
      <c r="T14" s="17">
        <f>2.098+1.855</f>
        <v>3.9529999999999998</v>
      </c>
      <c r="U14" s="61">
        <v>1.0669281045751633</v>
      </c>
      <c r="V14" s="48">
        <v>4.4849999999999994</v>
      </c>
      <c r="W14" s="56">
        <f>'2021'!C14/'2020'!V14</f>
        <v>1.28561872909699</v>
      </c>
    </row>
    <row r="15" spans="1:23" x14ac:dyDescent="0.25">
      <c r="A15" s="99"/>
      <c r="B15" s="47" t="s">
        <v>16</v>
      </c>
      <c r="C15" s="52">
        <v>0.27700000000000002</v>
      </c>
      <c r="D15" s="52">
        <f>0.333</f>
        <v>0.33300000000000002</v>
      </c>
      <c r="E15" s="52">
        <f>0.278</f>
        <v>0.27800000000000002</v>
      </c>
      <c r="F15" s="52">
        <v>0.28999999999999998</v>
      </c>
      <c r="G15" s="52">
        <v>0.99354838709677418</v>
      </c>
      <c r="H15" s="52">
        <v>0.17299999999999999</v>
      </c>
      <c r="I15" s="52">
        <v>0.68831168831168832</v>
      </c>
      <c r="J15" s="52">
        <v>0.128</v>
      </c>
      <c r="K15" s="52">
        <v>0.99056603773584906</v>
      </c>
      <c r="L15" s="17">
        <v>0.109</v>
      </c>
      <c r="M15" s="10">
        <v>1.2857142857142858</v>
      </c>
      <c r="N15" s="17">
        <v>0.15</v>
      </c>
      <c r="O15" s="17">
        <v>1.2666666666666666</v>
      </c>
      <c r="P15" s="17">
        <v>0.17299999999999999</v>
      </c>
      <c r="Q15" s="17">
        <v>1.2514619883040934</v>
      </c>
      <c r="R15" s="17">
        <v>0.23300000000000001</v>
      </c>
      <c r="S15" s="17">
        <v>1.2757009345794394</v>
      </c>
      <c r="T15" s="17">
        <v>0.23400000000000001</v>
      </c>
      <c r="U15" s="61">
        <v>1.1391941391941391</v>
      </c>
      <c r="V15" s="48">
        <v>0.28199999999999997</v>
      </c>
      <c r="W15" s="56">
        <f>'2021'!C15/'2020'!V15</f>
        <v>1.2340425531914894</v>
      </c>
    </row>
    <row r="16" spans="1:23" x14ac:dyDescent="0.25">
      <c r="A16" s="99"/>
      <c r="B16" s="47" t="s">
        <v>17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14"/>
      <c r="U16" s="62"/>
      <c r="V16" s="23"/>
    </row>
    <row r="17" spans="1:22" ht="15.75" thickBot="1" x14ac:dyDescent="0.3">
      <c r="A17" s="100"/>
      <c r="B17" s="49" t="s">
        <v>18</v>
      </c>
      <c r="C17" s="37">
        <f>SUM(C5:C12)</f>
        <v>3038586</v>
      </c>
      <c r="D17" s="37">
        <f>SUM(D5:D12)</f>
        <v>3070710</v>
      </c>
      <c r="E17" s="37">
        <f t="shared" ref="E17:T17" si="0">SUM(E5:E12)</f>
        <v>3133716</v>
      </c>
      <c r="F17" s="37">
        <f t="shared" si="0"/>
        <v>2255467</v>
      </c>
      <c r="G17" s="37"/>
      <c r="H17" s="37">
        <f t="shared" si="0"/>
        <v>2081654</v>
      </c>
      <c r="I17" s="37"/>
      <c r="J17" s="37">
        <f t="shared" si="0"/>
        <v>2069905</v>
      </c>
      <c r="K17" s="37"/>
      <c r="L17" s="37">
        <f>SUM(L5:L12)</f>
        <v>2203782</v>
      </c>
      <c r="M17" s="37"/>
      <c r="N17" s="37">
        <f>SUM(N5:N12)</f>
        <v>2273275</v>
      </c>
      <c r="O17" s="37"/>
      <c r="P17" s="37">
        <f t="shared" si="0"/>
        <v>2100056</v>
      </c>
      <c r="Q17" s="37"/>
      <c r="R17" s="37">
        <f t="shared" si="0"/>
        <v>2454986</v>
      </c>
      <c r="S17" s="37"/>
      <c r="T17" s="37">
        <f t="shared" si="0"/>
        <v>2815075</v>
      </c>
      <c r="U17" s="63"/>
      <c r="V17" s="39">
        <f>SUM(V5:V12)</f>
        <v>3468894</v>
      </c>
    </row>
    <row r="21" spans="1:22" x14ac:dyDescent="0.25">
      <c r="E21" s="55"/>
      <c r="F21" s="54"/>
      <c r="G21" s="54"/>
      <c r="H21" s="54"/>
      <c r="I21" s="54"/>
    </row>
    <row r="22" spans="1:22" x14ac:dyDescent="0.25">
      <c r="E22" s="55"/>
      <c r="F22" s="54"/>
      <c r="G22" s="54"/>
      <c r="H22" s="54"/>
      <c r="I22" s="54"/>
    </row>
    <row r="23" spans="1:22" x14ac:dyDescent="0.25">
      <c r="E23" s="55"/>
      <c r="F23" s="54"/>
      <c r="G23" s="54"/>
      <c r="H23" s="54"/>
      <c r="I23" s="54"/>
    </row>
    <row r="24" spans="1:22" x14ac:dyDescent="0.25">
      <c r="E24" s="55"/>
      <c r="H24" s="54"/>
      <c r="I24" s="54"/>
    </row>
    <row r="25" spans="1:22" x14ac:dyDescent="0.25">
      <c r="E25" s="55"/>
      <c r="F25" s="54"/>
      <c r="G25" s="54"/>
      <c r="H25" s="54"/>
      <c r="I25" s="54"/>
    </row>
    <row r="26" spans="1:22" x14ac:dyDescent="0.25">
      <c r="E26" s="55"/>
      <c r="F26" s="54"/>
      <c r="G26" s="54"/>
      <c r="H26" s="54"/>
      <c r="I26" s="54"/>
    </row>
    <row r="27" spans="1:22" x14ac:dyDescent="0.25">
      <c r="E27" s="55"/>
      <c r="F27" s="54"/>
      <c r="G27" s="54"/>
      <c r="H27" s="54"/>
      <c r="I27" s="54"/>
    </row>
    <row r="28" spans="1:22" x14ac:dyDescent="0.25">
      <c r="E28" s="55"/>
      <c r="F28" s="54"/>
      <c r="G28" s="54"/>
      <c r="H28" s="54"/>
      <c r="I28" s="54"/>
    </row>
    <row r="29" spans="1:22" x14ac:dyDescent="0.25">
      <c r="E29" s="55"/>
      <c r="F29" s="54"/>
      <c r="G29" s="54"/>
      <c r="H29" s="54"/>
      <c r="I29" s="54"/>
    </row>
    <row r="30" spans="1:22" x14ac:dyDescent="0.25">
      <c r="E30" s="55"/>
      <c r="F30" s="54"/>
      <c r="G30" s="54"/>
      <c r="H30" s="54"/>
      <c r="I30" s="54"/>
    </row>
    <row r="31" spans="1:22" x14ac:dyDescent="0.25">
      <c r="E31" s="55"/>
      <c r="F31" s="54"/>
      <c r="G31" s="54"/>
      <c r="H31" s="54"/>
      <c r="I31" s="54"/>
    </row>
    <row r="32" spans="1:22" x14ac:dyDescent="0.25">
      <c r="E32" s="55"/>
      <c r="H32" s="54"/>
      <c r="I32" s="54"/>
    </row>
  </sheetData>
  <mergeCells count="5">
    <mergeCell ref="A2:V2"/>
    <mergeCell ref="A4:A17"/>
    <mergeCell ref="B4:V4"/>
    <mergeCell ref="B8:V8"/>
    <mergeCell ref="B13:V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zoomScale="85" zoomScaleNormal="85" workbookViewId="0">
      <selection activeCell="AH14" sqref="AH14:AH15"/>
    </sheetView>
  </sheetViews>
  <sheetFormatPr defaultRowHeight="15" x14ac:dyDescent="0.25"/>
  <cols>
    <col min="1" max="1" width="16.85546875" customWidth="1"/>
    <col min="2" max="2" width="15.42578125" customWidth="1"/>
    <col min="3" max="3" width="18.140625" customWidth="1"/>
    <col min="4" max="4" width="18.140625" hidden="1" customWidth="1"/>
    <col min="5" max="5" width="19.28515625" customWidth="1"/>
    <col min="6" max="6" width="19.28515625" hidden="1" customWidth="1"/>
    <col min="7" max="7" width="16.85546875" customWidth="1"/>
    <col min="8" max="8" width="16.85546875" hidden="1" customWidth="1"/>
    <col min="9" max="9" width="19.28515625" customWidth="1"/>
    <col min="10" max="11" width="19.28515625" hidden="1" customWidth="1"/>
    <col min="12" max="12" width="18.7109375" customWidth="1"/>
    <col min="13" max="14" width="18.7109375" hidden="1" customWidth="1"/>
    <col min="15" max="15" width="16.85546875" customWidth="1"/>
    <col min="16" max="17" width="16.85546875" hidden="1" customWidth="1"/>
    <col min="18" max="18" width="15.85546875" style="70" customWidth="1"/>
    <col min="19" max="20" width="15.85546875" hidden="1" customWidth="1"/>
    <col min="21" max="21" width="18.7109375" style="70" customWidth="1"/>
    <col min="22" max="23" width="18.7109375" hidden="1" customWidth="1"/>
    <col min="24" max="24" width="17.5703125" style="70" customWidth="1"/>
    <col min="25" max="26" width="17.5703125" hidden="1" customWidth="1"/>
    <col min="27" max="27" width="17.140625" style="70" customWidth="1"/>
    <col min="28" max="29" width="17.140625" hidden="1" customWidth="1"/>
    <col min="30" max="30" width="17.28515625" style="70" customWidth="1"/>
    <col min="31" max="32" width="17.28515625" hidden="1" customWidth="1"/>
    <col min="33" max="33" width="20.42578125" customWidth="1"/>
    <col min="34" max="34" width="9.140625" style="56"/>
  </cols>
  <sheetData>
    <row r="1" spans="1:3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6"/>
      <c r="S1" s="1"/>
      <c r="T1" s="1"/>
      <c r="U1" s="66"/>
      <c r="V1" s="1"/>
      <c r="W1" s="1"/>
      <c r="X1" s="66"/>
      <c r="Y1" s="1"/>
      <c r="Z1" s="1"/>
      <c r="AA1" s="66"/>
      <c r="AB1" s="1"/>
      <c r="AC1" s="1"/>
      <c r="AD1" s="66"/>
      <c r="AE1" s="1"/>
      <c r="AF1" s="1"/>
      <c r="AG1" s="1"/>
    </row>
    <row r="2" spans="1:34" ht="15.75" thickBot="1" x14ac:dyDescent="0.3">
      <c r="A2" s="95" t="s">
        <v>37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spans="1:34" ht="30" x14ac:dyDescent="0.25">
      <c r="A3" s="43" t="s">
        <v>0</v>
      </c>
      <c r="B3" s="44" t="s">
        <v>1</v>
      </c>
      <c r="C3" s="21" t="s">
        <v>2</v>
      </c>
      <c r="D3" s="21"/>
      <c r="E3" s="21" t="s">
        <v>3</v>
      </c>
      <c r="F3" s="21"/>
      <c r="G3" s="21" t="s">
        <v>4</v>
      </c>
      <c r="H3" s="21"/>
      <c r="I3" s="21" t="s">
        <v>5</v>
      </c>
      <c r="J3" s="21"/>
      <c r="K3" s="21"/>
      <c r="L3" s="21" t="s">
        <v>6</v>
      </c>
      <c r="M3" s="21"/>
      <c r="N3" s="21"/>
      <c r="O3" s="21" t="s">
        <v>7</v>
      </c>
      <c r="P3" s="21"/>
      <c r="Q3" s="21"/>
      <c r="R3" s="67" t="s">
        <v>8</v>
      </c>
      <c r="S3" s="21"/>
      <c r="T3" s="21"/>
      <c r="U3" s="67" t="s">
        <v>9</v>
      </c>
      <c r="V3" s="21"/>
      <c r="W3" s="21"/>
      <c r="X3" s="67" t="s">
        <v>10</v>
      </c>
      <c r="Y3" s="21"/>
      <c r="Z3" s="21"/>
      <c r="AA3" s="67" t="s">
        <v>11</v>
      </c>
      <c r="AB3" s="21"/>
      <c r="AC3" s="21"/>
      <c r="AD3" s="67" t="s">
        <v>12</v>
      </c>
      <c r="AE3" s="57"/>
      <c r="AF3" s="57"/>
      <c r="AG3" s="22" t="s">
        <v>13</v>
      </c>
    </row>
    <row r="4" spans="1:34" x14ac:dyDescent="0.25">
      <c r="A4" s="97" t="s">
        <v>29</v>
      </c>
      <c r="B4" s="101" t="s">
        <v>34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91"/>
    </row>
    <row r="5" spans="1:34" x14ac:dyDescent="0.25">
      <c r="A5" s="98"/>
      <c r="B5" s="45" t="s">
        <v>14</v>
      </c>
      <c r="C5" s="50">
        <f>1897932+1266569</f>
        <v>3164501</v>
      </c>
      <c r="D5" s="50">
        <v>1.0204577346684407</v>
      </c>
      <c r="E5" s="50">
        <f>1148517+1723580</f>
        <v>2872097</v>
      </c>
      <c r="F5" s="50">
        <v>1.0370080258159984</v>
      </c>
      <c r="G5" s="50">
        <f>1373574+1043961</f>
        <v>2417535</v>
      </c>
      <c r="H5" s="50">
        <v>0.67823263409119461</v>
      </c>
      <c r="I5" s="50">
        <f>884141+1084394</f>
        <v>1968535</v>
      </c>
      <c r="J5" s="50">
        <v>2.0299999999999998</v>
      </c>
      <c r="K5" s="50">
        <v>0.99119101284523059</v>
      </c>
      <c r="L5" s="50">
        <f>916935+864894</f>
        <v>1781829</v>
      </c>
      <c r="M5" s="50"/>
      <c r="N5" s="50">
        <v>1.0855411901437135</v>
      </c>
      <c r="O5" s="50">
        <f>1017036+753011</f>
        <v>1770047</v>
      </c>
      <c r="P5" s="50"/>
      <c r="Q5" s="50">
        <v>1.0736762685072825</v>
      </c>
      <c r="R5" s="50">
        <f>1032537+811638</f>
        <v>1844175</v>
      </c>
      <c r="S5" s="10"/>
      <c r="T5" s="10">
        <v>1.0348350482684543</v>
      </c>
      <c r="U5" s="68">
        <f>944227+832093</f>
        <v>1776320</v>
      </c>
      <c r="V5" s="10"/>
      <c r="W5" s="10">
        <v>0.90351832075732819</v>
      </c>
      <c r="X5" s="68">
        <f>820201+928162</f>
        <v>1748363</v>
      </c>
      <c r="Y5" s="10"/>
      <c r="Z5" s="10">
        <v>1.0822453099352101</v>
      </c>
      <c r="AA5" s="68">
        <f>822239+1113323</f>
        <v>1935562</v>
      </c>
      <c r="AB5" s="10"/>
      <c r="AC5" s="10">
        <v>1.1302971075071941</v>
      </c>
      <c r="AD5" s="68">
        <f>958166+1233530</f>
        <v>2191696</v>
      </c>
      <c r="AE5" s="58"/>
      <c r="AF5" s="58">
        <v>1.217538156186895</v>
      </c>
      <c r="AG5" s="68">
        <f>1367171+2092720</f>
        <v>3459891</v>
      </c>
      <c r="AH5" s="53">
        <f>'2022'!D5/'2021'!AG5</f>
        <v>0.94867410562933918</v>
      </c>
    </row>
    <row r="6" spans="1:34" x14ac:dyDescent="0.25">
      <c r="A6" s="98"/>
      <c r="B6" s="45" t="s">
        <v>16</v>
      </c>
      <c r="C6" s="50">
        <v>854566</v>
      </c>
      <c r="D6" s="50">
        <v>0.97483353508867177</v>
      </c>
      <c r="E6" s="50">
        <v>823575</v>
      </c>
      <c r="F6" s="50">
        <v>0.9798646827470503</v>
      </c>
      <c r="G6" s="50">
        <v>788431</v>
      </c>
      <c r="H6" s="50">
        <v>0.85601610019395458</v>
      </c>
      <c r="I6" s="50">
        <v>577324</v>
      </c>
      <c r="J6" s="50"/>
      <c r="K6" s="50">
        <v>0.74305182115079416</v>
      </c>
      <c r="L6" s="50">
        <v>435804</v>
      </c>
      <c r="M6" s="50"/>
      <c r="N6" s="50">
        <v>0.67823132253651652</v>
      </c>
      <c r="O6" s="50">
        <v>316970</v>
      </c>
      <c r="P6" s="50"/>
      <c r="Q6" s="50">
        <v>1.0205635873879266</v>
      </c>
      <c r="R6" s="50">
        <v>340734</v>
      </c>
      <c r="S6" s="10"/>
      <c r="T6" s="10">
        <v>1.0050110133913914</v>
      </c>
      <c r="U6" s="68">
        <v>351410</v>
      </c>
      <c r="V6" s="10"/>
      <c r="W6" s="10">
        <v>1.0458892226299714</v>
      </c>
      <c r="X6" s="68">
        <v>426239</v>
      </c>
      <c r="Y6" s="10"/>
      <c r="Z6" s="10">
        <v>1.6183764014447353</v>
      </c>
      <c r="AA6" s="68">
        <v>574585</v>
      </c>
      <c r="AB6" s="10"/>
      <c r="AC6" s="10">
        <v>1.210033392172515</v>
      </c>
      <c r="AD6" s="68">
        <v>644168</v>
      </c>
      <c r="AE6" s="58"/>
      <c r="AF6" s="58">
        <v>1.2816890284694864</v>
      </c>
      <c r="AG6" s="68">
        <v>993292</v>
      </c>
      <c r="AH6" s="56">
        <f>'2022'!D6/'2021'!AG6</f>
        <v>0.77990359330388248</v>
      </c>
    </row>
    <row r="7" spans="1:34" x14ac:dyDescent="0.25">
      <c r="A7" s="98"/>
      <c r="B7" s="45" t="s">
        <v>17</v>
      </c>
      <c r="C7" s="50">
        <v>24245</v>
      </c>
      <c r="D7" s="50">
        <v>1.2669269846083857</v>
      </c>
      <c r="E7" s="50">
        <v>19688</v>
      </c>
      <c r="F7" s="50">
        <v>0.77982584757174067</v>
      </c>
      <c r="G7" s="50">
        <v>19838</v>
      </c>
      <c r="H7" s="50">
        <v>0.72932734737730709</v>
      </c>
      <c r="I7" s="50">
        <v>16543</v>
      </c>
      <c r="J7" s="50"/>
      <c r="K7" s="50">
        <v>0.85016046719629612</v>
      </c>
      <c r="L7" s="50">
        <v>14224</v>
      </c>
      <c r="M7" s="50"/>
      <c r="N7" s="50">
        <v>0.88786434804133918</v>
      </c>
      <c r="O7" s="50">
        <v>11346</v>
      </c>
      <c r="P7" s="50"/>
      <c r="Q7" s="50">
        <v>0.89454241304802395</v>
      </c>
      <c r="R7" s="50">
        <v>12468</v>
      </c>
      <c r="S7" s="10"/>
      <c r="T7" s="10">
        <v>1.2106903537478573</v>
      </c>
      <c r="U7" s="68">
        <v>12446</v>
      </c>
      <c r="V7" s="10"/>
      <c r="W7" s="10">
        <v>0.83498519758012613</v>
      </c>
      <c r="X7" s="68">
        <v>12274</v>
      </c>
      <c r="Y7" s="10"/>
      <c r="Z7" s="10">
        <v>1.4371820564205333</v>
      </c>
      <c r="AA7" s="68">
        <v>12626</v>
      </c>
      <c r="AB7" s="10"/>
      <c r="AC7" s="10">
        <v>1.1191140190925668</v>
      </c>
      <c r="AD7" s="68">
        <v>14421</v>
      </c>
      <c r="AE7" s="58"/>
      <c r="AF7" s="58">
        <v>1.2702832223127427</v>
      </c>
      <c r="AG7" s="68">
        <v>17792</v>
      </c>
      <c r="AH7" s="56">
        <f>'2022'!D7/'2021'!AG7</f>
        <v>1.1378709532374101</v>
      </c>
    </row>
    <row r="8" spans="1:34" x14ac:dyDescent="0.25">
      <c r="A8" s="98"/>
      <c r="B8" s="102" t="s">
        <v>35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96"/>
    </row>
    <row r="9" spans="1:34" x14ac:dyDescent="0.25">
      <c r="A9" s="98"/>
      <c r="B9" s="45" t="s">
        <v>14</v>
      </c>
      <c r="C9" s="51">
        <v>8257</v>
      </c>
      <c r="D9" s="51">
        <v>0.75261808078649284</v>
      </c>
      <c r="E9" s="51">
        <v>7086</v>
      </c>
      <c r="F9" s="51">
        <v>0.96791140139145249</v>
      </c>
      <c r="G9" s="51">
        <v>7828</v>
      </c>
      <c r="H9" s="51">
        <v>0.98181018043127477</v>
      </c>
      <c r="I9" s="51">
        <v>7938</v>
      </c>
      <c r="J9" s="51"/>
      <c r="K9" s="51">
        <v>1.004183475272673</v>
      </c>
      <c r="L9" s="51">
        <v>8356</v>
      </c>
      <c r="M9" s="51"/>
      <c r="N9" s="51">
        <v>0.78485344442791249</v>
      </c>
      <c r="O9" s="51">
        <v>6594</v>
      </c>
      <c r="P9" s="51"/>
      <c r="Q9" s="51">
        <v>1.1249289099526065</v>
      </c>
      <c r="R9" s="51">
        <v>5945</v>
      </c>
      <c r="S9" s="10"/>
      <c r="T9" s="10">
        <v>1.0050556117290192</v>
      </c>
      <c r="U9" s="68">
        <v>7156</v>
      </c>
      <c r="V9" s="10"/>
      <c r="W9" s="10">
        <v>1.2872233400402415</v>
      </c>
      <c r="X9" s="68">
        <v>9876</v>
      </c>
      <c r="Y9" s="10"/>
      <c r="Z9" s="10">
        <v>1.188615344535626</v>
      </c>
      <c r="AA9" s="68">
        <v>8502</v>
      </c>
      <c r="AB9" s="10"/>
      <c r="AC9" s="10">
        <v>0.89665753424657535</v>
      </c>
      <c r="AD9" s="68">
        <v>7918</v>
      </c>
      <c r="AE9" s="58"/>
      <c r="AF9" s="58">
        <v>1.0839648007822049</v>
      </c>
      <c r="AG9" s="68">
        <v>9870</v>
      </c>
      <c r="AH9" s="56">
        <f>'2022'!D9/'2021'!AG9</f>
        <v>0.85896656534954408</v>
      </c>
    </row>
    <row r="10" spans="1:34" x14ac:dyDescent="0.25">
      <c r="A10" s="98"/>
      <c r="B10" s="45" t="s">
        <v>15</v>
      </c>
      <c r="C10" s="51"/>
      <c r="D10" s="5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68"/>
      <c r="S10" s="10"/>
      <c r="T10" s="10"/>
      <c r="U10" s="68"/>
      <c r="V10" s="10"/>
      <c r="W10" s="10"/>
      <c r="X10" s="68"/>
      <c r="Y10" s="10"/>
      <c r="Z10" s="10"/>
      <c r="AA10" s="68"/>
      <c r="AB10" s="10"/>
      <c r="AC10" s="10"/>
      <c r="AD10" s="68"/>
      <c r="AE10" s="58"/>
      <c r="AF10" s="58"/>
      <c r="AG10" s="35"/>
    </row>
    <row r="11" spans="1:34" x14ac:dyDescent="0.25">
      <c r="A11" s="98"/>
      <c r="B11" s="45" t="s">
        <v>16</v>
      </c>
      <c r="C11" s="50"/>
      <c r="D11" s="50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34"/>
      <c r="P11" s="34"/>
      <c r="Q11" s="34"/>
      <c r="R11" s="68"/>
      <c r="S11" s="10"/>
      <c r="T11" s="10"/>
      <c r="U11" s="71"/>
      <c r="V11" s="34"/>
      <c r="W11" s="34"/>
      <c r="X11" s="71"/>
      <c r="Y11" s="34"/>
      <c r="Z11" s="34"/>
      <c r="AA11" s="71"/>
      <c r="AB11" s="34"/>
      <c r="AC11" s="34"/>
      <c r="AD11" s="71"/>
      <c r="AE11" s="59"/>
      <c r="AF11" s="59"/>
      <c r="AG11" s="38"/>
    </row>
    <row r="12" spans="1:34" x14ac:dyDescent="0.25">
      <c r="A12" s="98"/>
      <c r="B12" s="47" t="s">
        <v>17</v>
      </c>
      <c r="C12" s="51"/>
      <c r="D12" s="51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68"/>
      <c r="S12" s="8"/>
      <c r="T12" s="8"/>
      <c r="U12" s="68"/>
      <c r="V12" s="8"/>
      <c r="W12" s="8"/>
      <c r="X12" s="68"/>
      <c r="Y12" s="8"/>
      <c r="Z12" s="8"/>
      <c r="AA12" s="68"/>
      <c r="AB12" s="13"/>
      <c r="AC12" s="13"/>
      <c r="AD12" s="71"/>
      <c r="AE12" s="60"/>
      <c r="AF12" s="60"/>
      <c r="AG12" s="25"/>
    </row>
    <row r="13" spans="1:34" x14ac:dyDescent="0.25">
      <c r="A13" s="99"/>
      <c r="B13" s="101" t="s">
        <v>26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91"/>
    </row>
    <row r="14" spans="1:34" x14ac:dyDescent="0.25">
      <c r="A14" s="99"/>
      <c r="B14" s="47" t="s">
        <v>14</v>
      </c>
      <c r="C14" s="52">
        <f>3.419+2.347</f>
        <v>5.766</v>
      </c>
      <c r="D14" s="52">
        <v>1.0983213429256595</v>
      </c>
      <c r="E14" s="52">
        <f>3.31+2.668</f>
        <v>5.9779999999999998</v>
      </c>
      <c r="F14" s="52">
        <v>0.95655021834061138</v>
      </c>
      <c r="G14" s="52">
        <f>2.351+1.827</f>
        <v>4.1779999999999999</v>
      </c>
      <c r="H14" s="52">
        <v>0.66674275279616524</v>
      </c>
      <c r="I14" s="52">
        <f>2.03+1.938</f>
        <v>3.968</v>
      </c>
      <c r="J14" s="52"/>
      <c r="K14" s="52">
        <v>1.0154056829852789</v>
      </c>
      <c r="L14" s="52">
        <f>1.509+1.555</f>
        <v>3.0640000000000001</v>
      </c>
      <c r="M14" s="52"/>
      <c r="N14" s="52">
        <v>1.1746459878624409</v>
      </c>
      <c r="O14" s="52">
        <f>2.203+1.347</f>
        <v>3.55</v>
      </c>
      <c r="P14" s="52"/>
      <c r="Q14" s="52">
        <v>1.0370264064293915</v>
      </c>
      <c r="R14" s="52">
        <f>2.078+1.417</f>
        <v>3.4950000000000001</v>
      </c>
      <c r="S14" s="10"/>
      <c r="T14" s="10">
        <v>1.0476058676999724</v>
      </c>
      <c r="U14" s="72">
        <f>1.903+1.425</f>
        <v>3.3280000000000003</v>
      </c>
      <c r="V14" s="17"/>
      <c r="W14" s="17">
        <v>0.87080581241743726</v>
      </c>
      <c r="X14" s="72">
        <f>1.451+1.71</f>
        <v>3.161</v>
      </c>
      <c r="Y14" s="17"/>
      <c r="Z14" s="17">
        <v>1.0330703883495145</v>
      </c>
      <c r="AA14" s="72">
        <f>1.594+1.737</f>
        <v>3.3310000000000004</v>
      </c>
      <c r="AB14" s="17"/>
      <c r="AC14" s="17">
        <v>1.1609397944199704</v>
      </c>
      <c r="AD14" s="72">
        <f>1.973+2.159</f>
        <v>4.1319999999999997</v>
      </c>
      <c r="AE14" s="61"/>
      <c r="AF14" s="61">
        <v>1.1345813306349606</v>
      </c>
      <c r="AG14" s="32">
        <f>2.658+3.495</f>
        <v>6.1530000000000005</v>
      </c>
      <c r="AH14" s="56">
        <f>'2022'!D14/'2021'!AG14</f>
        <v>0.48756704046806432</v>
      </c>
    </row>
    <row r="15" spans="1:34" x14ac:dyDescent="0.25">
      <c r="A15" s="99"/>
      <c r="B15" s="47" t="s">
        <v>16</v>
      </c>
      <c r="C15" s="52">
        <v>0.34799999999999998</v>
      </c>
      <c r="D15" s="52">
        <v>1.2021660649819494</v>
      </c>
      <c r="E15" s="52">
        <v>0.35099999999999998</v>
      </c>
      <c r="F15" s="52">
        <v>0.83483483483483489</v>
      </c>
      <c r="G15" s="52">
        <v>0.25800000000000001</v>
      </c>
      <c r="H15" s="52">
        <v>1.043165467625899</v>
      </c>
      <c r="I15" s="52">
        <v>0.23200000000000001</v>
      </c>
      <c r="J15" s="52"/>
      <c r="K15" s="52">
        <v>0.59655172413793101</v>
      </c>
      <c r="L15" s="52">
        <v>0.159</v>
      </c>
      <c r="M15" s="52"/>
      <c r="N15" s="52">
        <v>0.73988439306358389</v>
      </c>
      <c r="O15" s="52">
        <v>0.113</v>
      </c>
      <c r="P15" s="52"/>
      <c r="Q15" s="52">
        <v>0.8515625</v>
      </c>
      <c r="R15" s="52">
        <v>0.111</v>
      </c>
      <c r="S15" s="10"/>
      <c r="T15" s="10">
        <v>1.3761467889908257</v>
      </c>
      <c r="U15" s="72">
        <v>0.156</v>
      </c>
      <c r="V15" s="17"/>
      <c r="W15" s="17">
        <v>1.1533333333333333</v>
      </c>
      <c r="X15" s="72">
        <v>0.17499999999999999</v>
      </c>
      <c r="Y15" s="17"/>
      <c r="Z15" s="17">
        <v>1.3468208092485552</v>
      </c>
      <c r="AA15" s="72">
        <v>0.20699999999999999</v>
      </c>
      <c r="AB15" s="17"/>
      <c r="AC15" s="17">
        <v>1.0042918454935623</v>
      </c>
      <c r="AD15" s="72">
        <v>0.25800000000000001</v>
      </c>
      <c r="AE15" s="61"/>
      <c r="AF15" s="61">
        <v>1.2051282051282048</v>
      </c>
      <c r="AG15" s="32">
        <v>0.40600000000000003</v>
      </c>
      <c r="AH15" s="56">
        <f>'2022'!D15/'2021'!AG15</f>
        <v>0.76108374384236444</v>
      </c>
    </row>
    <row r="16" spans="1:34" x14ac:dyDescent="0.25">
      <c r="A16" s="99"/>
      <c r="B16" s="47" t="s">
        <v>17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68"/>
      <c r="S16" s="8"/>
      <c r="T16" s="8"/>
      <c r="U16" s="68"/>
      <c r="V16" s="8"/>
      <c r="W16" s="8"/>
      <c r="X16" s="68"/>
      <c r="Y16" s="8"/>
      <c r="Z16" s="8"/>
      <c r="AA16" s="68"/>
      <c r="AB16" s="8"/>
      <c r="AC16" s="8"/>
      <c r="AD16" s="71"/>
      <c r="AE16" s="62"/>
      <c r="AF16" s="62"/>
      <c r="AG16" s="23"/>
    </row>
    <row r="17" spans="1:33" ht="15.75" thickBot="1" x14ac:dyDescent="0.3">
      <c r="A17" s="100"/>
      <c r="B17" s="49" t="s">
        <v>18</v>
      </c>
      <c r="C17" s="37">
        <f>SUM(C5:C12)</f>
        <v>4051569</v>
      </c>
      <c r="D17" s="37"/>
      <c r="E17" s="37">
        <f>SUM(E5:E12)</f>
        <v>3722446</v>
      </c>
      <c r="F17" s="37"/>
      <c r="G17" s="37">
        <f t="shared" ref="G17:AD17" si="0">SUM(G5:G12)</f>
        <v>3233632</v>
      </c>
      <c r="H17" s="37"/>
      <c r="I17" s="37">
        <f t="shared" si="0"/>
        <v>2570340</v>
      </c>
      <c r="J17" s="37"/>
      <c r="K17" s="37"/>
      <c r="L17" s="37">
        <f t="shared" si="0"/>
        <v>2240213</v>
      </c>
      <c r="M17" s="37"/>
      <c r="N17" s="37"/>
      <c r="O17" s="37">
        <f t="shared" si="0"/>
        <v>2104957</v>
      </c>
      <c r="P17" s="37"/>
      <c r="Q17" s="37"/>
      <c r="R17" s="69">
        <f>SUM(R5:R12)</f>
        <v>2203322</v>
      </c>
      <c r="S17" s="37"/>
      <c r="T17" s="37"/>
      <c r="U17" s="69">
        <f>SUM(U5:U12)</f>
        <v>2147332</v>
      </c>
      <c r="V17" s="37"/>
      <c r="W17" s="37"/>
      <c r="X17" s="69">
        <f t="shared" si="0"/>
        <v>2196752</v>
      </c>
      <c r="Y17" s="37"/>
      <c r="Z17" s="37"/>
      <c r="AA17" s="69">
        <f t="shared" si="0"/>
        <v>2531275</v>
      </c>
      <c r="AB17" s="37"/>
      <c r="AC17" s="37"/>
      <c r="AD17" s="69">
        <f t="shared" si="0"/>
        <v>2858203</v>
      </c>
      <c r="AE17" s="63"/>
      <c r="AF17" s="63"/>
      <c r="AG17" s="39">
        <f>SUM(AG5:AG12)</f>
        <v>4480845</v>
      </c>
    </row>
    <row r="21" spans="1:33" x14ac:dyDescent="0.25">
      <c r="G21" s="55"/>
      <c r="H21" s="55"/>
      <c r="I21" s="54"/>
      <c r="J21" s="54"/>
      <c r="K21" s="54"/>
      <c r="L21" s="54"/>
      <c r="M21" s="54"/>
      <c r="N21" s="54"/>
    </row>
    <row r="22" spans="1:33" x14ac:dyDescent="0.25">
      <c r="G22" s="55"/>
      <c r="H22" s="55"/>
      <c r="I22" s="54"/>
      <c r="J22" s="54"/>
      <c r="K22" s="54"/>
      <c r="L22" s="54"/>
      <c r="M22" s="54"/>
      <c r="N22" s="54"/>
    </row>
    <row r="23" spans="1:33" x14ac:dyDescent="0.25">
      <c r="G23" s="55"/>
      <c r="H23" s="55"/>
      <c r="I23" s="54"/>
      <c r="J23" s="54"/>
      <c r="K23" s="54"/>
      <c r="L23" s="54"/>
      <c r="M23" s="54"/>
      <c r="N23" s="54"/>
    </row>
    <row r="24" spans="1:33" x14ac:dyDescent="0.25">
      <c r="G24" s="55"/>
      <c r="H24" s="55"/>
      <c r="L24" s="54"/>
      <c r="M24" s="54"/>
      <c r="N24" s="54"/>
    </row>
    <row r="25" spans="1:33" x14ac:dyDescent="0.25">
      <c r="G25" s="55"/>
      <c r="H25" s="55"/>
      <c r="I25" s="54"/>
      <c r="J25" s="54"/>
      <c r="K25" s="54"/>
      <c r="L25" s="54"/>
      <c r="M25" s="54"/>
      <c r="N25" s="54"/>
    </row>
    <row r="26" spans="1:33" x14ac:dyDescent="0.25">
      <c r="G26" s="55"/>
      <c r="H26" s="55"/>
      <c r="I26" s="54"/>
      <c r="J26" s="54"/>
      <c r="K26" s="54"/>
      <c r="L26" s="54"/>
      <c r="M26" s="54"/>
      <c r="N26" s="54"/>
    </row>
    <row r="27" spans="1:33" x14ac:dyDescent="0.25">
      <c r="G27" s="55"/>
      <c r="H27" s="55"/>
      <c r="I27" s="54"/>
      <c r="J27" s="54"/>
      <c r="K27" s="54"/>
      <c r="L27" s="54"/>
      <c r="M27" s="54"/>
      <c r="N27" s="54"/>
    </row>
    <row r="28" spans="1:33" x14ac:dyDescent="0.25">
      <c r="G28" s="55"/>
      <c r="H28" s="55"/>
      <c r="I28" s="54"/>
      <c r="J28" s="54"/>
      <c r="K28" s="54"/>
      <c r="L28" s="54"/>
      <c r="M28" s="54"/>
      <c r="N28" s="54"/>
    </row>
    <row r="29" spans="1:33" x14ac:dyDescent="0.25">
      <c r="G29" s="55"/>
      <c r="H29" s="55"/>
      <c r="I29" s="54"/>
      <c r="J29" s="54"/>
      <c r="K29" s="54"/>
      <c r="L29" s="54"/>
      <c r="M29" s="54"/>
      <c r="N29" s="54"/>
    </row>
    <row r="30" spans="1:33" x14ac:dyDescent="0.25">
      <c r="G30" s="55"/>
      <c r="H30" s="55"/>
      <c r="I30" s="54"/>
      <c r="J30" s="54"/>
      <c r="K30" s="54"/>
      <c r="L30" s="54"/>
      <c r="M30" s="54"/>
      <c r="N30" s="54"/>
    </row>
    <row r="31" spans="1:33" x14ac:dyDescent="0.25">
      <c r="G31" s="55"/>
      <c r="H31" s="55"/>
      <c r="I31" s="54"/>
      <c r="J31" s="54"/>
      <c r="K31" s="54"/>
      <c r="L31" s="54"/>
      <c r="M31" s="54"/>
      <c r="N31" s="54"/>
    </row>
    <row r="32" spans="1:33" x14ac:dyDescent="0.25">
      <c r="G32" s="55"/>
      <c r="H32" s="55"/>
      <c r="L32" s="54"/>
      <c r="M32" s="54"/>
      <c r="N32" s="54"/>
    </row>
  </sheetData>
  <mergeCells count="5">
    <mergeCell ref="A2:AG2"/>
    <mergeCell ref="A4:A17"/>
    <mergeCell ref="B4:AG4"/>
    <mergeCell ref="B8:AG8"/>
    <mergeCell ref="B13:A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Пагуба Светлана Витальевна</cp:lastModifiedBy>
  <cp:lastPrinted>2016-04-20T12:57:10Z</cp:lastPrinted>
  <dcterms:created xsi:type="dcterms:W3CDTF">2013-11-13T16:10:49Z</dcterms:created>
  <dcterms:modified xsi:type="dcterms:W3CDTF">2025-01-22T12:35:02Z</dcterms:modified>
</cp:coreProperties>
</file>