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6285" windowWidth="25230" windowHeight="610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4">'2017'!$A$1:$N$15</definedName>
    <definedName name="_xlnm.Print_Area" localSheetId="5">'2018'!$A$1:$N$15</definedName>
    <definedName name="_xlnm.Print_Area" localSheetId="6">'2019'!$A$1:$N$15</definedName>
    <definedName name="_xlnm.Print_Area" localSheetId="7">'2020'!$A$1:$V$15</definedName>
  </definedNames>
  <calcPr calcId="162913"/>
</workbook>
</file>

<file path=xl/calcChain.xml><?xml version="1.0" encoding="utf-8"?>
<calcChain xmlns="http://schemas.openxmlformats.org/spreadsheetml/2006/main">
  <c r="M8" i="16" l="1"/>
  <c r="M7" i="16"/>
  <c r="M6" i="16"/>
  <c r="K8" i="16" l="1"/>
  <c r="K7" i="16"/>
  <c r="K6" i="16"/>
  <c r="J8" i="16" l="1"/>
  <c r="J7" i="16"/>
  <c r="J6" i="16"/>
  <c r="H8" i="16" l="1"/>
  <c r="H7" i="16"/>
  <c r="H6" i="16"/>
  <c r="C8" i="16" l="1"/>
  <c r="C7" i="16"/>
  <c r="C6" i="16"/>
  <c r="N11" i="16" l="1"/>
  <c r="M11" i="16"/>
  <c r="K11" i="16"/>
  <c r="I11" i="16"/>
  <c r="H11" i="16"/>
  <c r="F11" i="16"/>
  <c r="E11" i="16"/>
  <c r="D11" i="16"/>
  <c r="C11" i="16"/>
  <c r="O10" i="16"/>
  <c r="L11" i="16"/>
  <c r="O8" i="16"/>
  <c r="O7" i="16"/>
  <c r="G11" i="16"/>
  <c r="O6" i="16"/>
  <c r="J11" i="16"/>
  <c r="O5" i="16"/>
  <c r="O7" i="15" l="1"/>
  <c r="O10" i="15" l="1"/>
  <c r="O8" i="15"/>
  <c r="O6" i="15"/>
  <c r="O5" i="15"/>
  <c r="L10" i="15"/>
  <c r="J8" i="15" l="1"/>
  <c r="J7" i="15"/>
  <c r="J6" i="15"/>
  <c r="G8" i="15" l="1"/>
  <c r="G7" i="15"/>
  <c r="G6" i="15"/>
  <c r="C11" i="15" l="1"/>
  <c r="AH10" i="13"/>
  <c r="AH8" i="13"/>
  <c r="AH7" i="13"/>
  <c r="AH6" i="13"/>
  <c r="AH5" i="13"/>
  <c r="M11" i="15"/>
  <c r="L11" i="15"/>
  <c r="K11" i="15"/>
  <c r="J11" i="15"/>
  <c r="I11" i="15"/>
  <c r="H11" i="15"/>
  <c r="G11" i="15"/>
  <c r="F11" i="15"/>
  <c r="E11" i="15"/>
  <c r="D11" i="15"/>
  <c r="N11" i="15"/>
  <c r="AP10" i="14" l="1"/>
  <c r="AQ10" i="14"/>
  <c r="AR10" i="14"/>
  <c r="AP5" i="14"/>
  <c r="AQ5" i="14"/>
  <c r="AR5" i="14"/>
  <c r="AP6" i="14"/>
  <c r="AQ6" i="14"/>
  <c r="AR6" i="14"/>
  <c r="AP7" i="14"/>
  <c r="AQ7" i="14"/>
  <c r="AR7" i="14"/>
  <c r="AP8" i="14"/>
  <c r="AQ8" i="14"/>
  <c r="AR8" i="14"/>
  <c r="AL10" i="14" l="1"/>
  <c r="AM10" i="14"/>
  <c r="AN10" i="14"/>
  <c r="AL5" i="14"/>
  <c r="AM5" i="14"/>
  <c r="AN5" i="14"/>
  <c r="AL6" i="14"/>
  <c r="AM6" i="14"/>
  <c r="AN6" i="14"/>
  <c r="AL7" i="14"/>
  <c r="AM7" i="14"/>
  <c r="AN7" i="14"/>
  <c r="AL8" i="14"/>
  <c r="AM8" i="14"/>
  <c r="AN8" i="14"/>
  <c r="AH10" i="14" l="1"/>
  <c r="AI10" i="14"/>
  <c r="AJ10" i="14"/>
  <c r="AH5" i="14"/>
  <c r="AI5" i="14"/>
  <c r="AJ5" i="14"/>
  <c r="AH6" i="14"/>
  <c r="AI6" i="14"/>
  <c r="AJ6" i="14"/>
  <c r="AH7" i="14"/>
  <c r="AI7" i="14"/>
  <c r="AJ7" i="14"/>
  <c r="AH8" i="14"/>
  <c r="AI8" i="14"/>
  <c r="AJ8" i="14"/>
  <c r="AD10" i="14" l="1"/>
  <c r="AE10" i="14"/>
  <c r="AF10" i="14"/>
  <c r="AD5" i="14"/>
  <c r="AE5" i="14"/>
  <c r="AF5" i="14"/>
  <c r="AD6" i="14"/>
  <c r="AE6" i="14"/>
  <c r="AF6" i="14"/>
  <c r="AD7" i="14"/>
  <c r="AE7" i="14"/>
  <c r="AF7" i="14"/>
  <c r="AD8" i="14"/>
  <c r="AE8" i="14"/>
  <c r="AF8" i="14"/>
  <c r="Z10" i="14" l="1"/>
  <c r="AA10" i="14"/>
  <c r="AB10" i="14"/>
  <c r="Z5" i="14"/>
  <c r="AA5" i="14"/>
  <c r="AB5" i="14"/>
  <c r="Z6" i="14"/>
  <c r="AA6" i="14"/>
  <c r="AB6" i="14"/>
  <c r="Z7" i="14"/>
  <c r="AA7" i="14"/>
  <c r="AB7" i="14"/>
  <c r="Z8" i="14"/>
  <c r="AA8" i="14"/>
  <c r="AB8" i="14"/>
  <c r="V10" i="14" l="1"/>
  <c r="W10" i="14"/>
  <c r="X10" i="14"/>
  <c r="V5" i="14"/>
  <c r="W5" i="14"/>
  <c r="X5" i="14"/>
  <c r="V6" i="14"/>
  <c r="W6" i="14"/>
  <c r="X6" i="14"/>
  <c r="V7" i="14"/>
  <c r="W7" i="14"/>
  <c r="X7" i="14"/>
  <c r="V8" i="14"/>
  <c r="W8" i="14"/>
  <c r="X8" i="14"/>
  <c r="R10" i="14" l="1"/>
  <c r="S10" i="14"/>
  <c r="T10" i="14"/>
  <c r="R5" i="14"/>
  <c r="S5" i="14"/>
  <c r="T5" i="14"/>
  <c r="R6" i="14"/>
  <c r="S6" i="14"/>
  <c r="T6" i="14"/>
  <c r="R7" i="14"/>
  <c r="S7" i="14"/>
  <c r="T7" i="14"/>
  <c r="R8" i="14"/>
  <c r="S8" i="14"/>
  <c r="T8" i="14"/>
  <c r="N10" i="14" l="1"/>
  <c r="O10" i="14"/>
  <c r="P10" i="14"/>
  <c r="N5" i="14"/>
  <c r="O5" i="14"/>
  <c r="P5" i="14"/>
  <c r="N6" i="14"/>
  <c r="O6" i="14"/>
  <c r="P6" i="14"/>
  <c r="N7" i="14"/>
  <c r="O7" i="14"/>
  <c r="P7" i="14"/>
  <c r="N8" i="14"/>
  <c r="O8" i="14"/>
  <c r="P8" i="14"/>
  <c r="K10" i="14" l="1"/>
  <c r="L10" i="14"/>
  <c r="K5" i="14"/>
  <c r="L5" i="14"/>
  <c r="K6" i="14"/>
  <c r="L6" i="14"/>
  <c r="K7" i="14"/>
  <c r="L7" i="14"/>
  <c r="K8" i="14"/>
  <c r="L8" i="14"/>
  <c r="H6" i="14" l="1"/>
  <c r="I6" i="14"/>
  <c r="H10" i="14"/>
  <c r="I10" i="14"/>
  <c r="H5" i="14"/>
  <c r="I5" i="14"/>
  <c r="H7" i="14"/>
  <c r="I7" i="14"/>
  <c r="H8" i="14"/>
  <c r="I8" i="14"/>
  <c r="D11" i="14" l="1"/>
  <c r="W10" i="12"/>
  <c r="W8" i="12"/>
  <c r="W7" i="12"/>
  <c r="W6" i="12"/>
  <c r="W5" i="12"/>
  <c r="AO11" i="14"/>
  <c r="AK11" i="14"/>
  <c r="AG11" i="14"/>
  <c r="AC11" i="14"/>
  <c r="Y11" i="14"/>
  <c r="U11" i="14"/>
  <c r="Q11" i="14"/>
  <c r="M11" i="14"/>
  <c r="J11" i="14"/>
  <c r="G11" i="14"/>
  <c r="AS11" i="14"/>
  <c r="R11" i="13" l="1"/>
  <c r="AG11" i="13"/>
  <c r="AD11" i="13"/>
  <c r="AA11" i="13"/>
  <c r="X11" i="13"/>
  <c r="U11" i="13"/>
  <c r="O11" i="13"/>
  <c r="L11" i="13"/>
  <c r="I11" i="13"/>
  <c r="G11" i="13"/>
  <c r="E11" i="13"/>
  <c r="C11" i="13"/>
  <c r="O10" i="11"/>
  <c r="O8" i="11"/>
  <c r="O7" i="11"/>
  <c r="O6" i="11"/>
  <c r="O5" i="11"/>
  <c r="P11" i="12"/>
  <c r="H11" i="12"/>
  <c r="F11" i="12"/>
  <c r="Q6" i="11"/>
  <c r="Q7" i="11"/>
  <c r="Q8" i="11"/>
  <c r="Q10" i="11"/>
  <c r="Q5" i="11"/>
  <c r="C11" i="12"/>
  <c r="V11" i="12"/>
  <c r="T11" i="12"/>
  <c r="R11" i="12"/>
  <c r="L11" i="12"/>
  <c r="J11" i="12"/>
  <c r="E11" i="12"/>
  <c r="D11" i="12"/>
  <c r="N11" i="12"/>
  <c r="J8" i="11"/>
  <c r="J7" i="11"/>
  <c r="J6" i="11"/>
  <c r="I11" i="11"/>
  <c r="N11" i="11"/>
  <c r="M11" i="11"/>
  <c r="L11" i="11"/>
  <c r="K11" i="11"/>
  <c r="H11" i="11"/>
  <c r="F11" i="11"/>
  <c r="E11" i="11"/>
  <c r="J11" i="11"/>
  <c r="C11" i="11"/>
  <c r="D11" i="11"/>
  <c r="G11" i="11"/>
  <c r="J8" i="10"/>
  <c r="J7" i="10"/>
  <c r="J6" i="10"/>
  <c r="I7" i="10"/>
  <c r="I6" i="10"/>
  <c r="I8" i="10"/>
  <c r="G8" i="10"/>
  <c r="G7" i="10"/>
  <c r="G6" i="10"/>
  <c r="E11" i="10"/>
  <c r="D8" i="10"/>
  <c r="D7" i="10"/>
  <c r="D6" i="10"/>
  <c r="C8" i="10"/>
  <c r="C7" i="10"/>
  <c r="C6" i="10"/>
  <c r="J11" i="10"/>
  <c r="F11" i="10"/>
  <c r="G11" i="10"/>
  <c r="C11" i="10"/>
  <c r="N11" i="10"/>
  <c r="M11" i="10"/>
  <c r="L11" i="10"/>
  <c r="K11" i="10"/>
  <c r="I11" i="10"/>
  <c r="H11" i="10"/>
  <c r="D11" i="10"/>
  <c r="N8" i="9"/>
  <c r="N7" i="9"/>
  <c r="N6" i="9"/>
  <c r="M8" i="9"/>
  <c r="M7" i="9"/>
  <c r="M6" i="9"/>
  <c r="L8" i="9"/>
  <c r="L7" i="9"/>
  <c r="L6" i="9"/>
  <c r="K8" i="9"/>
  <c r="K7" i="9"/>
  <c r="K6" i="9"/>
  <c r="J11" i="9"/>
  <c r="I8" i="9"/>
  <c r="I7" i="9"/>
  <c r="I6" i="9"/>
  <c r="I11" i="9"/>
  <c r="H8" i="9"/>
  <c r="H7" i="9"/>
  <c r="H6" i="9"/>
  <c r="G8" i="9"/>
  <c r="G7" i="9"/>
  <c r="G6" i="9"/>
  <c r="G11" i="9"/>
  <c r="F8" i="9"/>
  <c r="F7" i="9"/>
  <c r="F6" i="9"/>
  <c r="C8" i="9"/>
  <c r="C7" i="9"/>
  <c r="C6" i="9"/>
  <c r="D8" i="9"/>
  <c r="D7" i="9"/>
  <c r="D6" i="9"/>
  <c r="N11" i="9"/>
  <c r="M11" i="9"/>
  <c r="L11" i="9"/>
  <c r="K11" i="9"/>
  <c r="H11" i="9"/>
  <c r="F11" i="9"/>
  <c r="E11" i="9"/>
  <c r="D11" i="9"/>
  <c r="C11" i="9"/>
  <c r="N11" i="8"/>
  <c r="M11" i="8"/>
  <c r="L11" i="8"/>
  <c r="K11" i="8"/>
  <c r="J11" i="8"/>
  <c r="I11" i="8"/>
  <c r="H11" i="8"/>
  <c r="G11" i="8"/>
  <c r="F11" i="8"/>
  <c r="E11" i="8"/>
  <c r="D11" i="8"/>
  <c r="C11" i="8"/>
  <c r="C6" i="6"/>
  <c r="C11" i="6"/>
  <c r="D11" i="7"/>
  <c r="E11" i="7"/>
  <c r="F11" i="7"/>
  <c r="G11" i="7"/>
  <c r="H11" i="7"/>
  <c r="I11" i="7"/>
  <c r="J11" i="7"/>
  <c r="K11" i="7"/>
  <c r="L11" i="7"/>
  <c r="M11" i="7"/>
  <c r="N11" i="7"/>
  <c r="C11" i="7"/>
  <c r="D11" i="6"/>
  <c r="E11" i="6"/>
  <c r="F11" i="6"/>
  <c r="G11" i="6"/>
  <c r="H11" i="6"/>
  <c r="I11" i="6"/>
  <c r="J11" i="6"/>
  <c r="K11" i="6"/>
  <c r="L11" i="6"/>
  <c r="M11" i="6"/>
  <c r="N11" i="6"/>
  <c r="D11" i="5"/>
  <c r="E11" i="5"/>
  <c r="F11" i="5"/>
  <c r="G11" i="5"/>
  <c r="H11" i="5"/>
  <c r="I11" i="5"/>
  <c r="J11" i="5"/>
  <c r="K11" i="5"/>
  <c r="L11" i="5"/>
  <c r="M11" i="5"/>
  <c r="N11" i="5"/>
  <c r="C11" i="5"/>
  <c r="C12" i="6"/>
  <c r="D12" i="5"/>
  <c r="E12" i="5"/>
  <c r="F12" i="5"/>
  <c r="G12" i="5"/>
  <c r="H12" i="5"/>
  <c r="I12" i="5"/>
  <c r="J12" i="5"/>
  <c r="K12" i="5"/>
  <c r="L12" i="5"/>
  <c r="M12" i="5"/>
  <c r="N12" i="5"/>
  <c r="C12" i="5"/>
  <c r="N12" i="6"/>
  <c r="M12" i="6"/>
  <c r="L12" i="6"/>
  <c r="K12" i="6"/>
  <c r="J12" i="6"/>
  <c r="I12" i="6"/>
  <c r="H12" i="6"/>
  <c r="G12" i="6"/>
  <c r="F12" i="6"/>
  <c r="E12" i="6"/>
  <c r="D12" i="6"/>
</calcChain>
</file>

<file path=xl/sharedStrings.xml><?xml version="1.0" encoding="utf-8"?>
<sst xmlns="http://schemas.openxmlformats.org/spreadsheetml/2006/main" count="282" uniqueCount="34">
  <si>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</si>
  <si>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</si>
  <si>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</si>
  <si>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</si>
  <si>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</si>
  <si>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</si>
  <si>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</si>
  <si>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</si>
  <si>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</si>
  <si>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</si>
  <si>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</si>
  <si>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</si>
  <si>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</si>
  <si>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</si>
  <si>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</si>
  <si>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СН2</t>
  </si>
  <si>
    <t>НН</t>
  </si>
  <si>
    <t>ИТОГО</t>
  </si>
  <si>
    <t>ОАО "Сетевая компания"</t>
  </si>
  <si>
    <t>ГН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</si>
  <si>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</si>
  <si>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2014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</si>
  <si>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</si>
  <si>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</si>
  <si>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</si>
  <si>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</si>
  <si>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</si>
  <si>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</si>
  <si>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</si>
  <si>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</si>
  <si>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</si>
  <si>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</si>
  <si>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</si>
  <si>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Татарстан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</si>
</sst>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2" fillId="0" borderId="0">
      <protection locked="0"/>
    </xf>
    <xf numFmtId="0" fontId="22" fillId="0" borderId="9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0" applyNumberFormat="0" applyAlignment="0" applyProtection="0"/>
    <xf numFmtId="0" fontId="8" fillId="20" borderId="11" applyNumberFormat="0" applyAlignment="0" applyProtection="0"/>
    <xf numFmtId="0" fontId="9" fillId="20" borderId="10" applyNumberFormat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4" fillId="21" borderId="16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25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17" applyNumberFormat="0" applyFont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4" borderId="0" applyNumberFormat="0" applyBorder="0" applyAlignment="0" applyProtection="0"/>
    <xf numFmtId="0" fontId="5" fillId="23" borderId="17" applyNumberFormat="0" applyFont="0" applyAlignment="0" applyProtection="0"/>
    <xf numFmtId="0" fontId="25" fillId="0" borderId="0"/>
    <xf numFmtId="0" fontId="5" fillId="0" borderId="0"/>
  </cellStyleXfs>
  <cellXfs count="51">
    <xf numFmtId="0" fontId="0" fillId="0" borderId="0" xfId="0"/>
    <xf numFmtId="0" fontId="2" fillId="0" borderId="0" xfId="0" applyFont="1"/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165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4" fillId="0" borderId="0" xfId="0" applyFont="1" applyBorder="1"/>
    <xf numFmtId="3" fontId="4" fillId="0" borderId="0" xfId="0" applyNumberFormat="1" applyFont="1" applyBorder="1"/>
    <xf numFmtId="0" fontId="2" fillId="0" borderId="0" xfId="0" applyFont="1" applyBorder="1"/>
    <xf numFmtId="165" fontId="26" fillId="0" borderId="0" xfId="45" applyNumberFormat="1" applyFont="1" applyFill="1" applyBorder="1" applyAlignment="1">
      <alignment horizontal="center"/>
    </xf>
    <xf numFmtId="165" fontId="26" fillId="0" borderId="0" xfId="2" applyNumberFormat="1" applyFont="1" applyFill="1" applyBorder="1" applyAlignment="1">
      <alignment horizontal="center"/>
    </xf>
    <xf numFmtId="3" fontId="4" fillId="0" borderId="19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2" fillId="0" borderId="0" xfId="0" applyNumberFormat="1" applyFont="1" applyBorder="1"/>
    <xf numFmtId="3" fontId="28" fillId="0" borderId="0" xfId="0" applyNumberFormat="1" applyFont="1"/>
    <xf numFmtId="165" fontId="2" fillId="0" borderId="0" xfId="0" applyNumberFormat="1" applyFont="1" applyBorder="1"/>
    <xf numFmtId="3" fontId="26" fillId="0" borderId="0" xfId="2" applyNumberFormat="1" applyFont="1" applyFill="1" applyBorder="1" applyAlignment="1">
      <alignment horizontal="center"/>
    </xf>
    <xf numFmtId="3" fontId="29" fillId="0" borderId="0" xfId="0" applyNumberFormat="1" applyFont="1"/>
    <xf numFmtId="0" fontId="29" fillId="0" borderId="0" xfId="0" applyFont="1"/>
    <xf numFmtId="0" fontId="29" fillId="0" borderId="0" xfId="0" applyFont="1" applyAlignment="1">
      <alignment vertical="center"/>
    </xf>
    <xf numFmtId="3" fontId="4" fillId="24" borderId="3" xfId="0" applyNumberFormat="1" applyFont="1" applyFill="1" applyBorder="1" applyAlignment="1">
      <alignment horizontal="center" vertical="center" wrapText="1"/>
    </xf>
    <xf numFmtId="3" fontId="4" fillId="24" borderId="19" xfId="0" applyNumberFormat="1" applyFont="1" applyFill="1" applyBorder="1" applyAlignment="1">
      <alignment horizontal="center" vertical="center"/>
    </xf>
    <xf numFmtId="3" fontId="4" fillId="24" borderId="3" xfId="0" applyNumberFormat="1" applyFont="1" applyFill="1" applyBorder="1" applyAlignment="1">
      <alignment horizontal="center" vertical="center"/>
    </xf>
    <xf numFmtId="3" fontId="2" fillId="24" borderId="3" xfId="0" applyNumberFormat="1" applyFont="1" applyFill="1" applyBorder="1"/>
    <xf numFmtId="3" fontId="3" fillId="0" borderId="6" xfId="0" applyNumberFormat="1" applyFont="1" applyBorder="1" applyAlignment="1">
      <alignment horizontal="center"/>
    </xf>
    <xf numFmtId="3" fontId="4" fillId="24" borderId="3" xfId="0" applyNumberFormat="1" applyFont="1" applyFill="1" applyBorder="1"/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4" fillId="24" borderId="4" xfId="0" applyNumberFormat="1" applyFont="1" applyFill="1" applyBorder="1" applyAlignment="1">
      <alignment horizontal="center" vertical="center"/>
    </xf>
    <xf numFmtId="3" fontId="4" fillId="24" borderId="5" xfId="0" applyNumberFormat="1" applyFont="1" applyFill="1" applyBorder="1" applyAlignment="1">
      <alignment horizontal="center" vertical="center"/>
    </xf>
    <xf numFmtId="3" fontId="4" fillId="24" borderId="6" xfId="0" applyNumberFormat="1" applyFont="1" applyFill="1" applyBorder="1" applyAlignment="1">
      <alignment horizontal="center" vertical="center"/>
    </xf>
  </cellXfs>
  <cellStyles count="61">
    <cellStyle name="" xfId="3"/>
    <cellStyle name="" xfId="4"/>
    <cellStyle name="" xfId="5"/>
    <cellStyle name="" xfId="6"/>
    <cellStyle name="" xfId="7"/>
    <cellStyle name="1" xfId="8"/>
    <cellStyle name="2" xfId="9"/>
    <cellStyle name="20% - Акцент1 2" xfId="10"/>
    <cellStyle name="20% - Акцент2 2" xfId="11"/>
    <cellStyle name="20% - Акцент3 2" xfId="12"/>
    <cellStyle name="20% - Акцент4 2" xfId="13"/>
    <cellStyle name="20% - Акцент5 2" xfId="14"/>
    <cellStyle name="20% - Акцент6 2" xfId="15"/>
    <cellStyle name="40% - Акцент1 2" xfId="16"/>
    <cellStyle name="40% - Акцент2 2" xfId="17"/>
    <cellStyle name="40% - Акцент3 2" xfId="18"/>
    <cellStyle name="40% - Акцент4 2" xfId="19"/>
    <cellStyle name="40% - Акцент5 2" xfId="20"/>
    <cellStyle name="40% - Акцент6 2" xfId="21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4" xfId="45"/>
    <cellStyle name="Обычный 2" xfId="46"/>
    <cellStyle name="Обычный 2 2 2" xfId="47"/>
    <cellStyle name="Обычный 3" xfId="2"/>
    <cellStyle name="Обычный 44" xfId="48"/>
    <cellStyle name="Плохой 2" xfId="49"/>
    <cellStyle name="Пояснение 2" xfId="50"/>
    <cellStyle name="Примечание 2" xfId="51"/>
    <cellStyle name="Связанная ячейка 2" xfId="52"/>
    <cellStyle name="Текст предупреждения 2" xfId="53"/>
    <cellStyle name="Финансовый" xfId="1" builtinId="3"/>
    <cellStyle name="Финансовый 2" xfId="55"/>
    <cellStyle name="Финансовый 23" xfId="56"/>
    <cellStyle name="Финансовый 3" xfId="54"/>
    <cellStyle name="Хороший 2" xfId="57"/>
    <cellStyle name="㼿㼿?" xfId="58"/>
    <cellStyle name="㼿㼿㼿" xfId="59"/>
    <cellStyle name="㼿㼿㼿?" xfId="6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2/&#1089;&#1077;&#1090;&#1080;/&#1057;&#1050;%2002_2022_&#1089;&#1090;&#1086;&#1080;&#1084;&#1086;&#1089;&#1090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11/&#1089;&#1077;&#1090;&#1080;/&#1057;&#1050;%2011_2022_&#1089;&#1090;&#1086;&#1080;&#1084;&#1086;&#1089;&#1090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2/&#1089;&#1073;&#1099;&#1090;/&#1057;&#1074;&#1086;&#1076;_02%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3/&#1089;&#1073;&#1099;&#1090;/&#1057;&#1074;&#1086;&#1076;_03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4/&#1089;&#1073;&#1099;&#1090;/&#1057;&#1074;&#1086;&#1076;_04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5/&#1089;&#1073;&#1099;&#1090;/&#1057;&#1074;&#1086;&#1076;_05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6/&#1089;&#1073;&#1099;&#1090;/&#1057;&#1074;&#1086;&#1076;_06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7/&#1089;&#1073;&#1099;&#1090;/&#1057;&#1074;&#1086;&#1076;_07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8/&#1089;&#1073;&#1099;&#1090;/&#1057;&#1074;&#1086;&#1076;_08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9/&#1089;&#1073;&#1099;&#1090;/&#1057;&#1074;&#1086;&#1076;_09_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10/&#1089;&#1073;&#1099;&#1090;/&#1057;&#1074;&#1086;&#1076;_10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3/&#1089;&#1077;&#1090;&#1080;/&#1057;&#1050;%2003_2022_&#1089;&#1090;&#1086;&#1080;&#1084;&#1086;&#1089;&#1090;&#110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11/&#1089;&#1073;&#1099;&#1090;/&#1057;&#1074;&#1086;&#1076;_11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8;&#1072;&#1090;&#1072;&#1088;&#1089;&#1090;&#1072;&#1085;/10/&#1089;&#1077;&#1090;&#1080;/&#1057;&#1050;%2010_2023_&#1089;&#1090;&#1086;&#1080;&#1084;&#1086;&#1089;&#1090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8;&#1072;&#1090;&#1072;&#1088;&#1089;&#1090;&#1072;&#1085;/10/&#1089;&#1073;&#1099;&#1090;/&#1057;&#1074;&#1086;&#1076;_10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4/&#1089;&#1077;&#1090;&#1080;/&#1057;&#1050;%2004_2022_&#1089;&#1090;&#1086;&#1080;&#1084;&#1086;&#1089;&#1090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5/&#1089;&#1077;&#1090;&#1080;/&#1057;&#1050;%2005_2022_&#1089;&#1090;&#1086;&#1080;&#1084;&#1086;&#1089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6/&#1089;&#1077;&#1090;&#1080;/&#1057;&#1050;%2006_2022_&#1089;&#1090;&#1086;&#1080;&#1084;&#1086;&#1089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7/&#1089;&#1077;&#1090;&#1080;/&#1057;&#1050;%2007_2022_&#1089;&#1090;&#1086;&#1080;&#1084;&#1086;&#1089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8/&#1089;&#1077;&#1090;&#1080;/&#1057;&#1050;%2008_2022_&#1089;&#1090;&#1086;&#1080;&#1084;&#1086;&#1089;&#1090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09/&#1089;&#1077;&#1090;&#1080;/&#1057;&#1050;%2009_2022_&#1089;&#1090;&#1086;&#1080;&#1084;&#1086;&#1089;&#1090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8;&#1072;&#1090;&#1072;&#1088;&#1089;&#1090;&#1072;&#1085;/10/&#1089;&#1077;&#1090;&#1080;/&#1057;&#1050;%2010_2022_&#1089;&#1090;&#1086;&#1080;&#1084;&#1086;&#1089;&#1090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3153.8249999999998</v>
          </cell>
        </row>
        <row r="15">
          <cell r="E15">
            <v>128253.52499999999</v>
          </cell>
        </row>
        <row r="17">
          <cell r="E17">
            <v>49.432000000000002</v>
          </cell>
        </row>
        <row r="18">
          <cell r="E18">
            <v>92.676000000000002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464.56700000000001</v>
          </cell>
        </row>
        <row r="15">
          <cell r="E15">
            <v>141734.03200000001</v>
          </cell>
        </row>
        <row r="17">
          <cell r="E17">
            <v>96.147999999999996</v>
          </cell>
        </row>
        <row r="18">
          <cell r="E18">
            <v>31.456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1530896</v>
          </cell>
        </row>
        <row r="20">
          <cell r="N20">
            <v>2504974</v>
          </cell>
        </row>
        <row r="21">
          <cell r="N21">
            <v>1577360</v>
          </cell>
        </row>
        <row r="22">
          <cell r="N22">
            <v>1577360</v>
          </cell>
        </row>
        <row r="23">
          <cell r="N23">
            <v>56087</v>
          </cell>
        </row>
        <row r="24">
          <cell r="N24">
            <v>294752</v>
          </cell>
        </row>
        <row r="25">
          <cell r="N25">
            <v>1649</v>
          </cell>
        </row>
        <row r="26">
          <cell r="N26">
            <v>1740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1445901</v>
          </cell>
        </row>
        <row r="20">
          <cell r="N20">
            <v>2531143</v>
          </cell>
        </row>
        <row r="21">
          <cell r="N21">
            <v>1455511</v>
          </cell>
        </row>
        <row r="23">
          <cell r="N23">
            <v>58810</v>
          </cell>
        </row>
        <row r="24">
          <cell r="N24">
            <v>319736</v>
          </cell>
        </row>
        <row r="25">
          <cell r="N25">
            <v>1630</v>
          </cell>
        </row>
        <row r="26">
          <cell r="N26">
            <v>984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1499574</v>
          </cell>
        </row>
        <row r="20">
          <cell r="N20">
            <v>1733889</v>
          </cell>
        </row>
        <row r="21">
          <cell r="N21">
            <v>924277</v>
          </cell>
        </row>
        <row r="23">
          <cell r="N23">
            <v>29951</v>
          </cell>
        </row>
        <row r="24">
          <cell r="N24">
            <v>238950</v>
          </cell>
        </row>
        <row r="25">
          <cell r="N25">
            <v>1472</v>
          </cell>
        </row>
        <row r="26">
          <cell r="N26">
            <v>985</v>
          </cell>
        </row>
      </sheetData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1293072</v>
          </cell>
        </row>
        <row r="20">
          <cell r="N20">
            <v>1508540</v>
          </cell>
        </row>
        <row r="21">
          <cell r="N21">
            <v>590115</v>
          </cell>
        </row>
        <row r="23">
          <cell r="N23">
            <v>23352</v>
          </cell>
        </row>
        <row r="24">
          <cell r="N24">
            <v>182138</v>
          </cell>
        </row>
        <row r="25">
          <cell r="N25">
            <v>2271</v>
          </cell>
        </row>
        <row r="26">
          <cell r="N26">
            <v>966</v>
          </cell>
        </row>
      </sheetData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1165256</v>
          </cell>
        </row>
        <row r="20">
          <cell r="N20">
            <v>1086295</v>
          </cell>
        </row>
        <row r="21">
          <cell r="N21">
            <v>420288</v>
          </cell>
        </row>
        <row r="23">
          <cell r="N23">
            <v>32442</v>
          </cell>
        </row>
        <row r="24">
          <cell r="N24">
            <v>140302</v>
          </cell>
        </row>
        <row r="25">
          <cell r="N25">
            <v>1863</v>
          </cell>
        </row>
        <row r="26">
          <cell r="N26">
            <v>1467</v>
          </cell>
        </row>
      </sheetData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968365</v>
          </cell>
        </row>
        <row r="20">
          <cell r="N20">
            <v>1008465</v>
          </cell>
        </row>
        <row r="21">
          <cell r="N21">
            <v>381087</v>
          </cell>
        </row>
        <row r="23">
          <cell r="N23">
            <v>40267</v>
          </cell>
        </row>
        <row r="24">
          <cell r="N24">
            <v>187603</v>
          </cell>
        </row>
        <row r="25">
          <cell r="N25">
            <v>1481</v>
          </cell>
        </row>
        <row r="26">
          <cell r="N26">
            <v>1305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1072447</v>
          </cell>
        </row>
        <row r="20">
          <cell r="N20">
            <v>1127779</v>
          </cell>
        </row>
        <row r="21">
          <cell r="N21">
            <v>440537</v>
          </cell>
        </row>
        <row r="23">
          <cell r="N23">
            <v>40995</v>
          </cell>
        </row>
        <row r="24">
          <cell r="N24">
            <v>171970</v>
          </cell>
        </row>
        <row r="25">
          <cell r="N25">
            <v>1650</v>
          </cell>
        </row>
        <row r="26">
          <cell r="N26">
            <v>1650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1044833</v>
          </cell>
        </row>
        <row r="20">
          <cell r="N20">
            <v>1395610</v>
          </cell>
        </row>
        <row r="21">
          <cell r="N21">
            <v>474267</v>
          </cell>
        </row>
        <row r="23">
          <cell r="N23">
            <v>8512</v>
          </cell>
        </row>
        <row r="24">
          <cell r="N24">
            <v>187935</v>
          </cell>
        </row>
        <row r="25">
          <cell r="N25">
            <v>2291</v>
          </cell>
        </row>
        <row r="26">
          <cell r="N26">
            <v>956</v>
          </cell>
        </row>
      </sheetData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1266566</v>
          </cell>
        </row>
        <row r="20">
          <cell r="N20">
            <v>1870127</v>
          </cell>
        </row>
        <row r="21">
          <cell r="N21">
            <v>903326</v>
          </cell>
        </row>
        <row r="23">
          <cell r="N23">
            <v>67805</v>
          </cell>
        </row>
        <row r="24">
          <cell r="N24">
            <v>258203</v>
          </cell>
        </row>
        <row r="25">
          <cell r="N25">
            <v>2060</v>
          </cell>
        </row>
        <row r="26">
          <cell r="N26">
            <v>942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2941.1239999999998</v>
          </cell>
        </row>
        <row r="15">
          <cell r="E15">
            <v>143137.639</v>
          </cell>
        </row>
        <row r="17">
          <cell r="E17">
            <v>51.085000000000001</v>
          </cell>
        </row>
        <row r="18">
          <cell r="E18">
            <v>104.316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N19">
            <v>1248416</v>
          </cell>
        </row>
        <row r="20">
          <cell r="N20">
            <v>2005940</v>
          </cell>
        </row>
        <row r="21">
          <cell r="N21">
            <v>1055006</v>
          </cell>
        </row>
        <row r="23">
          <cell r="N23">
            <v>245305</v>
          </cell>
        </row>
        <row r="24">
          <cell r="N24">
            <v>301737</v>
          </cell>
        </row>
        <row r="25">
          <cell r="N25">
            <v>60752</v>
          </cell>
        </row>
        <row r="26">
          <cell r="N26">
            <v>950</v>
          </cell>
        </row>
      </sheetData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254.39699999999999</v>
          </cell>
        </row>
        <row r="9">
          <cell r="E9">
            <v>6978.2160000000003</v>
          </cell>
        </row>
        <row r="15">
          <cell r="E15">
            <v>135749.69699999999</v>
          </cell>
        </row>
        <row r="17">
          <cell r="E17">
            <v>185.99700000000001</v>
          </cell>
        </row>
        <row r="18">
          <cell r="E18">
            <v>38.067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5 проверка"/>
      <sheetName val="090 проверка"/>
      <sheetName val="Мощность КО"/>
      <sheetName val="атс и вывод цены"/>
      <sheetName val="объемы"/>
      <sheetName val="цены ТЭСб"/>
    </sheetNames>
    <sheetDataSet>
      <sheetData sheetId="0"/>
      <sheetData sheetId="1"/>
      <sheetData sheetId="2"/>
      <sheetData sheetId="3"/>
      <sheetData sheetId="4">
        <row r="19">
          <cell r="R19">
            <v>4345448</v>
          </cell>
        </row>
        <row r="23">
          <cell r="R23">
            <v>280223</v>
          </cell>
        </row>
        <row r="26">
          <cell r="R26">
            <v>28517</v>
          </cell>
        </row>
        <row r="27">
          <cell r="R27">
            <v>885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2247.0720000000001</v>
          </cell>
        </row>
        <row r="15">
          <cell r="E15">
            <v>130928.32799999999</v>
          </cell>
        </row>
        <row r="17">
          <cell r="E17">
            <v>53.084000000000003</v>
          </cell>
        </row>
        <row r="18">
          <cell r="E18">
            <v>76.695999999999998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1754.1869999999999</v>
          </cell>
        </row>
        <row r="15">
          <cell r="E15">
            <v>119121.923</v>
          </cell>
        </row>
        <row r="17">
          <cell r="E17">
            <v>41.561</v>
          </cell>
        </row>
        <row r="18">
          <cell r="E18">
            <v>79.097999999999999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2100.924</v>
          </cell>
        </row>
        <row r="15">
          <cell r="E15">
            <v>128810.011</v>
          </cell>
        </row>
        <row r="17">
          <cell r="E17">
            <v>37.972999999999999</v>
          </cell>
        </row>
        <row r="18">
          <cell r="E18">
            <v>72.644999999999996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2063.8020000000001</v>
          </cell>
        </row>
        <row r="15">
          <cell r="E15">
            <v>138344.29999999999</v>
          </cell>
        </row>
        <row r="17">
          <cell r="E17">
            <v>45.014000000000003</v>
          </cell>
        </row>
        <row r="18">
          <cell r="E18">
            <v>78.887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2854.1280000000002</v>
          </cell>
        </row>
        <row r="15">
          <cell r="E15">
            <v>142694.17199999999</v>
          </cell>
        </row>
        <row r="17">
          <cell r="E17">
            <v>45.582000000000001</v>
          </cell>
        </row>
        <row r="18">
          <cell r="E18">
            <v>32.078000000000003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142.87700000000001</v>
          </cell>
        </row>
        <row r="15">
          <cell r="E15">
            <v>136076.50599999999</v>
          </cell>
        </row>
        <row r="17">
          <cell r="E17">
            <v>48.021999999999998</v>
          </cell>
        </row>
        <row r="18">
          <cell r="E18">
            <v>32.200000000000003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396-1"/>
      <sheetName val="2"/>
    </sheetNames>
    <sheetDataSet>
      <sheetData sheetId="0">
        <row r="8">
          <cell r="E8">
            <v>237.56700000000001</v>
          </cell>
        </row>
        <row r="15">
          <cell r="E15">
            <v>137551.32800000001</v>
          </cell>
        </row>
        <row r="17">
          <cell r="E17">
            <v>52.789000000000001</v>
          </cell>
        </row>
        <row r="18">
          <cell r="E18">
            <v>34.649000000000001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workbookViewId="0">
      <selection activeCell="N6" sqref="N6"/>
    </sheetView>
  </sheetViews>
  <sheetFormatPr defaultColWidth="9.140625" defaultRowHeight="22.5" customHeight="1" x14ac:dyDescent="0.25"/>
  <cols>
    <col min="1" max="1" width="24.85546875" style="4" customWidth="1"/>
    <col min="2" max="2" width="14.85546875" style="1" customWidth="1"/>
    <col min="3" max="3" width="16" style="4" customWidth="1"/>
    <col min="4" max="4" width="16.7109375" style="4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9.140625" style="1"/>
    <col min="16" max="16" width="10" style="1" bestFit="1" customWidth="1"/>
    <col min="17" max="25" width="9.140625" style="1"/>
    <col min="26" max="27" width="10" style="1" bestFit="1" customWidth="1"/>
    <col min="28" max="16384" width="9.140625" style="1"/>
  </cols>
  <sheetData>
    <row r="2" spans="1:19" s="4" customFormat="1" ht="42.75" customHeight="1" x14ac:dyDescent="0.25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9" s="4" customFormat="1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9" s="4" customFormat="1" ht="22.5" customHeight="1" x14ac:dyDescent="0.25">
      <c r="A5" s="41"/>
      <c r="B5" s="9" t="s">
        <v>19</v>
      </c>
      <c r="C5" s="21">
        <v>2652282</v>
      </c>
      <c r="D5" s="21">
        <v>2415238</v>
      </c>
      <c r="E5" s="21">
        <v>4266150</v>
      </c>
      <c r="F5" s="21">
        <v>2777217</v>
      </c>
      <c r="G5" s="21">
        <v>3116357</v>
      </c>
      <c r="H5" s="21">
        <v>3490232</v>
      </c>
      <c r="I5" s="21">
        <v>2464357</v>
      </c>
      <c r="J5" s="21">
        <v>1812727</v>
      </c>
      <c r="K5" s="21">
        <v>3296575</v>
      </c>
      <c r="L5" s="21">
        <v>2519524</v>
      </c>
      <c r="M5" s="21">
        <v>3092654</v>
      </c>
      <c r="N5" s="21">
        <v>2853520</v>
      </c>
    </row>
    <row r="6" spans="1:19" ht="22.5" customHeight="1" x14ac:dyDescent="0.25">
      <c r="A6" s="41"/>
      <c r="B6" s="9" t="s">
        <v>14</v>
      </c>
      <c r="C6" s="13">
        <v>156084334</v>
      </c>
      <c r="D6" s="13">
        <v>169518276</v>
      </c>
      <c r="E6" s="13">
        <v>184193448</v>
      </c>
      <c r="F6" s="13">
        <v>172922621</v>
      </c>
      <c r="G6" s="13">
        <v>162218012</v>
      </c>
      <c r="H6" s="13">
        <v>173262789</v>
      </c>
      <c r="I6" s="13">
        <v>100553712</v>
      </c>
      <c r="J6" s="13">
        <v>171746946</v>
      </c>
      <c r="K6" s="13">
        <v>170121970</v>
      </c>
      <c r="L6" s="13">
        <v>178263239</v>
      </c>
      <c r="M6" s="13">
        <v>163996794</v>
      </c>
      <c r="N6" s="13">
        <v>182448777</v>
      </c>
    </row>
    <row r="7" spans="1:19" ht="22.5" customHeight="1" x14ac:dyDescent="0.25">
      <c r="A7" s="41"/>
      <c r="B7" s="9" t="s">
        <v>15</v>
      </c>
      <c r="C7" s="13">
        <v>838731</v>
      </c>
      <c r="D7" s="13">
        <v>811999</v>
      </c>
      <c r="E7" s="13">
        <v>734611</v>
      </c>
      <c r="F7" s="13">
        <v>677086</v>
      </c>
      <c r="G7" s="13">
        <v>451090</v>
      </c>
      <c r="H7" s="13">
        <v>362205</v>
      </c>
      <c r="I7" s="13">
        <v>325244</v>
      </c>
      <c r="J7" s="13">
        <v>339432</v>
      </c>
      <c r="K7" s="13">
        <v>410032</v>
      </c>
      <c r="L7" s="13">
        <v>642707</v>
      </c>
      <c r="M7" s="13">
        <v>631913</v>
      </c>
      <c r="N7" s="13">
        <v>808041</v>
      </c>
    </row>
    <row r="8" spans="1:19" ht="22.5" customHeight="1" x14ac:dyDescent="0.25">
      <c r="A8" s="41"/>
      <c r="B8" s="9" t="s">
        <v>16</v>
      </c>
      <c r="C8" s="13">
        <v>584609</v>
      </c>
      <c r="D8" s="13">
        <v>617077</v>
      </c>
      <c r="E8" s="13">
        <v>606181</v>
      </c>
      <c r="F8" s="13">
        <v>484581</v>
      </c>
      <c r="G8" s="13">
        <v>427731</v>
      </c>
      <c r="H8" s="13">
        <v>388718</v>
      </c>
      <c r="I8" s="13">
        <v>174118</v>
      </c>
      <c r="J8" s="13">
        <v>370320</v>
      </c>
      <c r="K8" s="13">
        <v>377485</v>
      </c>
      <c r="L8" s="13">
        <v>522179</v>
      </c>
      <c r="M8" s="13">
        <v>504079</v>
      </c>
      <c r="N8" s="13">
        <v>544769</v>
      </c>
    </row>
    <row r="9" spans="1:19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9" ht="22.5" customHeight="1" x14ac:dyDescent="0.25">
      <c r="A10" s="4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9" ht="30.75" customHeight="1" x14ac:dyDescent="0.25">
      <c r="A11" s="42"/>
      <c r="B11" s="10" t="s">
        <v>17</v>
      </c>
      <c r="C11" s="13">
        <f>SUM(C5:C8,C10)</f>
        <v>160159956</v>
      </c>
      <c r="D11" s="13">
        <f t="shared" ref="D11:N11" si="0">SUM(D5:D8,D10)</f>
        <v>173362590</v>
      </c>
      <c r="E11" s="13">
        <f t="shared" si="0"/>
        <v>189800390</v>
      </c>
      <c r="F11" s="13">
        <f t="shared" si="0"/>
        <v>176861505</v>
      </c>
      <c r="G11" s="13">
        <f t="shared" si="0"/>
        <v>166213190</v>
      </c>
      <c r="H11" s="13">
        <f t="shared" si="0"/>
        <v>177503944</v>
      </c>
      <c r="I11" s="13">
        <f t="shared" si="0"/>
        <v>103517431</v>
      </c>
      <c r="J11" s="13">
        <f t="shared" si="0"/>
        <v>174269425</v>
      </c>
      <c r="K11" s="13">
        <f t="shared" si="0"/>
        <v>174206062</v>
      </c>
      <c r="L11" s="13">
        <f t="shared" si="0"/>
        <v>181947649</v>
      </c>
      <c r="M11" s="13">
        <f t="shared" si="0"/>
        <v>168225440</v>
      </c>
      <c r="N11" s="13">
        <f t="shared" si="0"/>
        <v>186655107</v>
      </c>
    </row>
    <row r="12" spans="1:19" ht="22.5" customHeight="1" x14ac:dyDescent="0.25">
      <c r="A12" s="46" t="s">
        <v>17</v>
      </c>
      <c r="B12" s="47"/>
      <c r="C12" s="14">
        <f>C11</f>
        <v>160159956</v>
      </c>
      <c r="D12" s="14">
        <f>D11</f>
        <v>173362590</v>
      </c>
      <c r="E12" s="14">
        <f t="shared" ref="E12:N12" si="1">E11</f>
        <v>189800390</v>
      </c>
      <c r="F12" s="14">
        <f t="shared" si="1"/>
        <v>176861505</v>
      </c>
      <c r="G12" s="14">
        <f t="shared" si="1"/>
        <v>166213190</v>
      </c>
      <c r="H12" s="14">
        <f t="shared" si="1"/>
        <v>177503944</v>
      </c>
      <c r="I12" s="14">
        <f t="shared" si="1"/>
        <v>103517431</v>
      </c>
      <c r="J12" s="14">
        <f t="shared" si="1"/>
        <v>174269425</v>
      </c>
      <c r="K12" s="14">
        <f t="shared" si="1"/>
        <v>174206062</v>
      </c>
      <c r="L12" s="14">
        <f t="shared" si="1"/>
        <v>181947649</v>
      </c>
      <c r="M12" s="14">
        <f t="shared" si="1"/>
        <v>168225440</v>
      </c>
      <c r="N12" s="14">
        <f t="shared" si="1"/>
        <v>186655107</v>
      </c>
    </row>
    <row r="14" spans="1:19" ht="22.5" customHeight="1" x14ac:dyDescent="0.25">
      <c r="C14" s="20"/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2.5" customHeight="1" x14ac:dyDescent="0.2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</row>
    <row r="16" spans="1:19" ht="22.5" customHeight="1" x14ac:dyDescent="0.25">
      <c r="C16" s="16"/>
      <c r="D16" s="1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3:19" ht="22.5" customHeight="1" x14ac:dyDescent="0.25">
      <c r="C17" s="16"/>
      <c r="D17" s="1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3:19" ht="22.5" customHeight="1" x14ac:dyDescent="0.25">
      <c r="C18" s="16"/>
      <c r="D18" s="16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3:19" ht="22.5" customHeight="1" x14ac:dyDescent="0.25">
      <c r="C19" s="16"/>
      <c r="D19" s="16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3:19" ht="22.5" customHeight="1" x14ac:dyDescent="0.25">
      <c r="C20" s="16"/>
      <c r="D20" s="1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3:19" ht="22.5" customHeight="1" x14ac:dyDescent="0.25">
      <c r="C21" s="16"/>
      <c r="D21" s="16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3:19" ht="22.5" customHeight="1" x14ac:dyDescent="0.25">
      <c r="C22" s="16"/>
      <c r="D22" s="16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3:19" ht="22.5" customHeight="1" x14ac:dyDescent="0.25">
      <c r="C23" s="16"/>
      <c r="D23" s="1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3:19" ht="22.5" customHeight="1" x14ac:dyDescent="0.25">
      <c r="C24" s="16"/>
      <c r="D24" s="1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3:19" ht="22.5" customHeight="1" x14ac:dyDescent="0.25">
      <c r="C25" s="16"/>
      <c r="D25" s="16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3:19" ht="22.5" customHeight="1" x14ac:dyDescent="0.25">
      <c r="C26" s="16"/>
      <c r="D26" s="1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3:19" ht="22.5" customHeight="1" x14ac:dyDescent="0.25">
      <c r="C27" s="16"/>
      <c r="D27" s="16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3:19" ht="22.5" customHeight="1" x14ac:dyDescent="0.25">
      <c r="C28" s="16"/>
      <c r="D28" s="1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3:19" ht="22.5" customHeight="1" x14ac:dyDescent="0.25">
      <c r="C29" s="16"/>
      <c r="D29" s="1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3:19" ht="22.5" customHeight="1" x14ac:dyDescent="0.25">
      <c r="C30" s="16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3:19" ht="22.5" customHeight="1" x14ac:dyDescent="0.25">
      <c r="C31" s="16"/>
      <c r="D31" s="1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3:19" ht="22.5" customHeight="1" x14ac:dyDescent="0.25">
      <c r="C32" s="16"/>
      <c r="D32" s="1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3:19" ht="22.5" customHeight="1" x14ac:dyDescent="0.25">
      <c r="C33" s="16"/>
      <c r="D33" s="1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3:19" ht="22.5" customHeight="1" x14ac:dyDescent="0.25">
      <c r="C34" s="16"/>
      <c r="D34" s="1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3:19" ht="22.5" customHeight="1" x14ac:dyDescent="0.25">
      <c r="C35" s="16"/>
      <c r="D35" s="1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3:19" ht="22.5" customHeight="1" x14ac:dyDescent="0.25">
      <c r="C36" s="16"/>
      <c r="D36" s="1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3:19" ht="22.5" customHeight="1" x14ac:dyDescent="0.25">
      <c r="C37" s="16"/>
      <c r="D37" s="1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3:19" ht="22.5" customHeight="1" x14ac:dyDescent="0.25">
      <c r="C38" s="16"/>
      <c r="D38" s="1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3:19" ht="22.5" customHeight="1" x14ac:dyDescent="0.25">
      <c r="C39" s="16"/>
      <c r="D39" s="1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30"/>
  <sheetViews>
    <sheetView zoomScale="70" zoomScaleNormal="70" workbookViewId="0">
      <selection activeCell="AT6" sqref="AT6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140625" style="1" customWidth="1"/>
    <col min="5" max="6" width="20.140625" style="1" hidden="1" customWidth="1"/>
    <col min="7" max="7" width="20.140625" style="1" customWidth="1"/>
    <col min="8" max="8" width="2.42578125" style="1" hidden="1" customWidth="1"/>
    <col min="9" max="9" width="9" style="1" hidden="1" customWidth="1"/>
    <col min="10" max="10" width="20.140625" style="1" customWidth="1"/>
    <col min="11" max="12" width="20.140625" style="1" hidden="1" customWidth="1"/>
    <col min="13" max="13" width="20.140625" style="1" customWidth="1"/>
    <col min="14" max="16" width="20.140625" style="1" hidden="1" customWidth="1"/>
    <col min="17" max="17" width="20.140625" style="1" customWidth="1"/>
    <col min="18" max="20" width="20.140625" style="1" hidden="1" customWidth="1"/>
    <col min="21" max="21" width="20.140625" style="1" customWidth="1"/>
    <col min="22" max="24" width="20.140625" style="1" hidden="1" customWidth="1"/>
    <col min="25" max="25" width="20.140625" style="1" customWidth="1"/>
    <col min="26" max="28" width="20.140625" style="1" hidden="1" customWidth="1"/>
    <col min="29" max="29" width="20.140625" style="1" customWidth="1"/>
    <col min="30" max="32" width="20.140625" style="1" hidden="1" customWidth="1"/>
    <col min="33" max="33" width="20.140625" style="1" customWidth="1"/>
    <col min="34" max="36" width="20.140625" style="1" hidden="1" customWidth="1"/>
    <col min="37" max="37" width="20.140625" style="1" customWidth="1"/>
    <col min="38" max="40" width="20.140625" style="1" hidden="1" customWidth="1"/>
    <col min="41" max="41" width="20.140625" style="1" customWidth="1"/>
    <col min="42" max="44" width="20.140625" style="1" hidden="1" customWidth="1"/>
    <col min="45" max="45" width="20.140625" style="1" customWidth="1"/>
    <col min="46" max="46" width="10.5703125" style="30" bestFit="1" customWidth="1"/>
    <col min="47" max="47" width="9.140625" style="1"/>
    <col min="48" max="48" width="14" style="1" customWidth="1"/>
    <col min="49" max="49" width="11.7109375" style="1" bestFit="1" customWidth="1"/>
    <col min="50" max="16384" width="9.140625" style="1"/>
  </cols>
  <sheetData>
    <row r="2" spans="1:49" s="4" customFormat="1" ht="42.7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0"/>
    </row>
    <row r="3" spans="1:49" s="8" customFormat="1" ht="33" customHeight="1" x14ac:dyDescent="0.25">
      <c r="A3" s="5" t="s">
        <v>0</v>
      </c>
      <c r="B3" s="6" t="s">
        <v>1</v>
      </c>
      <c r="C3" s="6"/>
      <c r="D3" s="7" t="s">
        <v>2</v>
      </c>
      <c r="E3" s="7"/>
      <c r="F3" s="7"/>
      <c r="G3" s="7" t="s">
        <v>3</v>
      </c>
      <c r="H3" s="7"/>
      <c r="I3" s="7"/>
      <c r="J3" s="7" t="s">
        <v>4</v>
      </c>
      <c r="K3" s="7"/>
      <c r="L3" s="7"/>
      <c r="M3" s="7" t="s">
        <v>5</v>
      </c>
      <c r="N3" s="7"/>
      <c r="O3" s="7"/>
      <c r="P3" s="7"/>
      <c r="Q3" s="7" t="s">
        <v>6</v>
      </c>
      <c r="R3" s="7"/>
      <c r="S3" s="7"/>
      <c r="T3" s="7"/>
      <c r="U3" s="7" t="s">
        <v>7</v>
      </c>
      <c r="V3" s="7"/>
      <c r="W3" s="7"/>
      <c r="X3" s="7"/>
      <c r="Y3" s="7" t="s">
        <v>8</v>
      </c>
      <c r="Z3" s="7"/>
      <c r="AA3" s="7"/>
      <c r="AB3" s="7"/>
      <c r="AC3" s="7" t="s">
        <v>9</v>
      </c>
      <c r="AD3" s="7"/>
      <c r="AE3" s="7"/>
      <c r="AF3" s="7"/>
      <c r="AG3" s="7" t="s">
        <v>10</v>
      </c>
      <c r="AH3" s="7"/>
      <c r="AI3" s="7"/>
      <c r="AJ3" s="7"/>
      <c r="AK3" s="7" t="s">
        <v>11</v>
      </c>
      <c r="AL3" s="7"/>
      <c r="AM3" s="7"/>
      <c r="AN3" s="7"/>
      <c r="AO3" s="7" t="s">
        <v>12</v>
      </c>
      <c r="AP3" s="7"/>
      <c r="AQ3" s="7"/>
      <c r="AR3" s="7"/>
      <c r="AS3" s="7" t="s">
        <v>13</v>
      </c>
      <c r="AT3" s="31"/>
    </row>
    <row r="4" spans="1:49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</row>
    <row r="5" spans="1:49" ht="22.5" customHeight="1" x14ac:dyDescent="0.25">
      <c r="A5" s="41"/>
      <c r="B5" s="32" t="s">
        <v>19</v>
      </c>
      <c r="C5" s="32">
        <v>0.29358592617633028</v>
      </c>
      <c r="D5" s="33">
        <v>2437953</v>
      </c>
      <c r="E5" s="34"/>
      <c r="F5" s="34">
        <v>0.94935251344658433</v>
      </c>
      <c r="G5" s="33">
        <v>3153825</v>
      </c>
      <c r="H5" s="33">
        <f>[1]стоимость!$E$8*1000</f>
        <v>3153825</v>
      </c>
      <c r="I5" s="33">
        <f>[1]стоимость!$E$8*1000</f>
        <v>3153825</v>
      </c>
      <c r="J5" s="33">
        <v>2941124</v>
      </c>
      <c r="K5" s="33">
        <f>[2]стоимость!$E$8*1000</f>
        <v>2941124</v>
      </c>
      <c r="L5" s="33">
        <f>[2]стоимость!$E$8*1000</f>
        <v>2941124</v>
      </c>
      <c r="M5" s="33">
        <v>2247072</v>
      </c>
      <c r="N5" s="33">
        <f>[3]стоимость!$E$8*1000</f>
        <v>2247072</v>
      </c>
      <c r="O5" s="33">
        <f>[3]стоимость!$E$8*1000</f>
        <v>2247072</v>
      </c>
      <c r="P5" s="33">
        <f>[3]стоимость!$E$8*1000</f>
        <v>2247072</v>
      </c>
      <c r="Q5" s="33">
        <v>1754187</v>
      </c>
      <c r="R5" s="33">
        <f>[4]стоимость!$E$8*1000</f>
        <v>1754187</v>
      </c>
      <c r="S5" s="33">
        <f>[4]стоимость!$E$8*1000</f>
        <v>1754187</v>
      </c>
      <c r="T5" s="33">
        <f>[4]стоимость!$E$8*1000</f>
        <v>1754187</v>
      </c>
      <c r="U5" s="33">
        <v>2100924</v>
      </c>
      <c r="V5" s="33">
        <f>[5]стоимость!$E$8*1000</f>
        <v>2100924</v>
      </c>
      <c r="W5" s="33">
        <f>[5]стоимость!$E$8*1000</f>
        <v>2100924</v>
      </c>
      <c r="X5" s="33">
        <f>[5]стоимость!$E$8*1000</f>
        <v>2100924</v>
      </c>
      <c r="Y5" s="33">
        <v>2063802.0000000002</v>
      </c>
      <c r="Z5" s="33">
        <f>[6]стоимость!$E$8*1000</f>
        <v>2063802.0000000002</v>
      </c>
      <c r="AA5" s="33">
        <f>[6]стоимость!$E$8*1000</f>
        <v>2063802.0000000002</v>
      </c>
      <c r="AB5" s="33">
        <f>[6]стоимость!$E$8*1000</f>
        <v>2063802.0000000002</v>
      </c>
      <c r="AC5" s="33">
        <v>2854128</v>
      </c>
      <c r="AD5" s="33">
        <f>[7]стоимость!$E$8*1000</f>
        <v>2854128</v>
      </c>
      <c r="AE5" s="33">
        <f>[7]стоимость!$E$8*1000</f>
        <v>2854128</v>
      </c>
      <c r="AF5" s="33">
        <f>[7]стоимость!$E$8*1000</f>
        <v>2854128</v>
      </c>
      <c r="AG5" s="33">
        <v>142877</v>
      </c>
      <c r="AH5" s="33">
        <f>[8]стоимость!$E$8*1000</f>
        <v>142877</v>
      </c>
      <c r="AI5" s="33">
        <f>[8]стоимость!$E$8*1000</f>
        <v>142877</v>
      </c>
      <c r="AJ5" s="33">
        <f>[8]стоимость!$E$8*1000</f>
        <v>142877</v>
      </c>
      <c r="AK5" s="33">
        <v>237567</v>
      </c>
      <c r="AL5" s="33">
        <f>[9]стоимость!$E$8*1000</f>
        <v>237567</v>
      </c>
      <c r="AM5" s="33">
        <f>[9]стоимость!$E$8*1000</f>
        <v>237567</v>
      </c>
      <c r="AN5" s="33">
        <f>[9]стоимость!$E$8*1000</f>
        <v>237567</v>
      </c>
      <c r="AO5" s="33">
        <v>464567</v>
      </c>
      <c r="AP5" s="33">
        <f>[10]стоимость!$E$8*1000</f>
        <v>464567</v>
      </c>
      <c r="AQ5" s="33">
        <f>[10]стоимость!$E$8*1000</f>
        <v>464567</v>
      </c>
      <c r="AR5" s="33">
        <f>[10]стоимость!$E$8*1000</f>
        <v>464567</v>
      </c>
      <c r="AS5" s="33">
        <v>674050</v>
      </c>
      <c r="AU5" s="4"/>
      <c r="AV5" s="24"/>
      <c r="AW5" s="15"/>
    </row>
    <row r="6" spans="1:49" ht="22.5" customHeight="1" x14ac:dyDescent="0.25">
      <c r="A6" s="41"/>
      <c r="B6" s="32" t="s">
        <v>14</v>
      </c>
      <c r="C6" s="32">
        <v>0.79862354992421769</v>
      </c>
      <c r="D6" s="34">
        <v>141222044</v>
      </c>
      <c r="E6" s="34"/>
      <c r="F6" s="34">
        <v>1.1472319805717208</v>
      </c>
      <c r="G6" s="34">
        <v>133866755</v>
      </c>
      <c r="H6" s="34">
        <f>[1]стоимость!$E$15*1000+[11]объемы!$N$19+[11]объемы!$N$20+[11]объемы!$N$21</f>
        <v>133866755</v>
      </c>
      <c r="I6" s="34">
        <f>[1]стоимость!$E$15*1000+[11]объемы!$N$19+[11]объемы!$N$20+[11]объемы!$N$21</f>
        <v>133866755</v>
      </c>
      <c r="J6" s="34">
        <v>148570194</v>
      </c>
      <c r="K6" s="34">
        <f>[2]стоимость!$E$15*1000+[12]объемы!$N$19+[12]объемы!$N$20+[12]объемы!$N$21</f>
        <v>148570194</v>
      </c>
      <c r="L6" s="34">
        <f>[2]стоимость!$E$15*1000+[12]объемы!$N$19+[12]объемы!$N$20+[12]объемы!$N$21</f>
        <v>148570194</v>
      </c>
      <c r="M6" s="34">
        <v>135086068</v>
      </c>
      <c r="N6" s="34">
        <f>[3]стоимость!$E$15*1000+[13]объемы!$N$19+[13]объемы!$N$20+[13]объемы!$N$21</f>
        <v>135086068</v>
      </c>
      <c r="O6" s="34">
        <f>[3]стоимость!$E$15*1000+[13]объемы!$N$19+[13]объемы!$N$20+[13]объемы!$N$21</f>
        <v>135086068</v>
      </c>
      <c r="P6" s="34">
        <f>[3]стоимость!$E$15*1000+[13]объемы!$N$19+[13]объемы!$N$20+[13]объемы!$N$21</f>
        <v>135086068</v>
      </c>
      <c r="Q6" s="34">
        <v>122513650</v>
      </c>
      <c r="R6" s="34">
        <f>[4]стоимость!$E$15*1000+[14]объемы!$N$19+[14]объемы!$N$20+[14]объемы!$N$21</f>
        <v>122513650</v>
      </c>
      <c r="S6" s="34">
        <f>[4]стоимость!$E$15*1000+[14]объемы!$N$19+[14]объемы!$N$20+[14]объемы!$N$21</f>
        <v>122513650</v>
      </c>
      <c r="T6" s="34">
        <f>[4]стоимость!$E$15*1000+[14]объемы!$N$19+[14]объемы!$N$20+[14]объемы!$N$21</f>
        <v>122513650</v>
      </c>
      <c r="U6" s="34">
        <v>131481850</v>
      </c>
      <c r="V6" s="34">
        <f>[5]стоимость!$E$15*1000+[15]объемы!$N$19+[15]объемы!$N$20+[15]объемы!$N$21</f>
        <v>131481850</v>
      </c>
      <c r="W6" s="34">
        <f>[5]стоимость!$E$15*1000+[15]объемы!$N$19+[15]объемы!$N$20+[15]объемы!$N$21</f>
        <v>131481850</v>
      </c>
      <c r="X6" s="34">
        <f>[5]стоимость!$E$15*1000+[15]объемы!$N$19+[15]объемы!$N$20+[15]объемы!$N$21</f>
        <v>131481850</v>
      </c>
      <c r="Y6" s="34">
        <v>140702217</v>
      </c>
      <c r="Z6" s="34">
        <f>[6]стоимость!$E$15*1000+[16]объемы!$N$19+[16]объемы!$N$20+[16]объемы!$N$21</f>
        <v>140702217</v>
      </c>
      <c r="AA6" s="34">
        <f>[6]стоимость!$E$15*1000+[16]объемы!$N$19+[16]объемы!$N$20+[16]объемы!$N$21</f>
        <v>140702217</v>
      </c>
      <c r="AB6" s="34">
        <f>[6]стоимость!$E$15*1000+[16]объемы!$N$19+[16]объемы!$N$20+[16]объемы!$N$21</f>
        <v>140702217</v>
      </c>
      <c r="AC6" s="34">
        <v>145334935</v>
      </c>
      <c r="AD6" s="34">
        <f>[7]стоимость!$E$15*1000+[17]объемы!$N$19+[17]объемы!$N$20+[17]объемы!$N$21</f>
        <v>145334935</v>
      </c>
      <c r="AE6" s="34">
        <f>[7]стоимость!$E$15*1000+[17]объемы!$N$19+[17]объемы!$N$20+[17]объемы!$N$21</f>
        <v>145334935</v>
      </c>
      <c r="AF6" s="34">
        <f>[7]стоимость!$E$15*1000+[17]объемы!$N$19+[17]объемы!$N$20+[17]объемы!$N$21</f>
        <v>145334935</v>
      </c>
      <c r="AG6" s="34">
        <v>138991216</v>
      </c>
      <c r="AH6" s="34">
        <f>[8]стоимость!$E$15*1000+[18]объемы!$N$19+[18]объемы!$N$20+[18]объемы!$N$21</f>
        <v>138991216</v>
      </c>
      <c r="AI6" s="34">
        <f>[8]стоимость!$E$15*1000+[18]объемы!$N$19+[18]объемы!$N$20+[18]объемы!$N$21</f>
        <v>138991216</v>
      </c>
      <c r="AJ6" s="34">
        <f>[8]стоимость!$E$15*1000+[18]объемы!$N$19+[18]объемы!$N$20+[18]объемы!$N$21</f>
        <v>138991216</v>
      </c>
      <c r="AK6" s="34">
        <v>141591347</v>
      </c>
      <c r="AL6" s="34">
        <f>[9]стоимость!$E$15*1000+[19]объемы!$N$19+[19]объемы!$N$20+[19]объемы!$N$21</f>
        <v>141591347</v>
      </c>
      <c r="AM6" s="34">
        <f>[9]стоимость!$E$15*1000+[19]объемы!$N$19+[19]объемы!$N$20+[19]объемы!$N$21</f>
        <v>141591347</v>
      </c>
      <c r="AN6" s="34">
        <f>[9]стоимость!$E$15*1000+[19]объемы!$N$19+[19]объемы!$N$20+[19]объемы!$N$21</f>
        <v>141591347</v>
      </c>
      <c r="AO6" s="34">
        <v>146043394</v>
      </c>
      <c r="AP6" s="34">
        <f>[10]стоимость!$E$15*1000+[20]объемы!$N$19+[20]объемы!$N$20+[20]объемы!$N$21</f>
        <v>146043394</v>
      </c>
      <c r="AQ6" s="34">
        <f>[10]стоимость!$E$15*1000+[20]объемы!$N$19+[20]объемы!$N$20+[20]объемы!$N$21</f>
        <v>146043394</v>
      </c>
      <c r="AR6" s="34">
        <f>[10]стоимость!$E$15*1000+[20]объемы!$N$19+[20]объемы!$N$20+[20]объемы!$N$21</f>
        <v>146043394</v>
      </c>
      <c r="AS6" s="34">
        <v>153616873</v>
      </c>
      <c r="AU6" s="4"/>
      <c r="AV6" s="4"/>
    </row>
    <row r="7" spans="1:49" ht="22.5" customHeight="1" x14ac:dyDescent="0.25">
      <c r="A7" s="41"/>
      <c r="B7" s="32" t="s">
        <v>15</v>
      </c>
      <c r="C7" s="32">
        <v>0.96882445591482336</v>
      </c>
      <c r="D7" s="34">
        <v>555255</v>
      </c>
      <c r="E7" s="34"/>
      <c r="F7" s="34">
        <v>0.89276696559479318</v>
      </c>
      <c r="G7" s="34">
        <v>400271</v>
      </c>
      <c r="H7" s="34">
        <f>[1]стоимость!$E$17*1000+[11]объемы!$N$22+[11]объемы!$N$23+[11]объемы!$N$24</f>
        <v>1977631</v>
      </c>
      <c r="I7" s="34">
        <f>[1]стоимость!$E$17*1000+[11]объемы!$N$22+[11]объемы!$N$23+[11]объемы!$N$24</f>
        <v>1977631</v>
      </c>
      <c r="J7" s="34">
        <v>429631</v>
      </c>
      <c r="K7" s="34">
        <f>[2]стоимость!$E$17*1000+[12]объемы!$N$23+[12]объемы!$N$24</f>
        <v>429631</v>
      </c>
      <c r="L7" s="34">
        <f>[2]стоимость!$E$17*1000+[12]объемы!$N$23+[12]объемы!$N$24</f>
        <v>429631</v>
      </c>
      <c r="M7" s="34">
        <v>321985</v>
      </c>
      <c r="N7" s="34">
        <f>[3]стоимость!$E$17*1000+[13]объемы!$N$23+[13]объемы!$N$24</f>
        <v>321985</v>
      </c>
      <c r="O7" s="34">
        <f>[3]стоимость!$E$17*1000+[13]объемы!$N$23+[13]объемы!$N$24</f>
        <v>321985</v>
      </c>
      <c r="P7" s="34">
        <f>[3]стоимость!$E$17*1000+[13]объемы!$N$23+[13]объемы!$N$24</f>
        <v>321985</v>
      </c>
      <c r="Q7" s="34">
        <v>247051</v>
      </c>
      <c r="R7" s="34">
        <f>[4]стоимость!$E$17*1000+[14]объемы!$N$23+[14]объемы!$N$24</f>
        <v>247051</v>
      </c>
      <c r="S7" s="34">
        <f>[4]стоимость!$E$17*1000+[14]объемы!$N$23+[14]объемы!$N$24</f>
        <v>247051</v>
      </c>
      <c r="T7" s="34">
        <f>[4]стоимость!$E$17*1000+[14]объемы!$N$23+[14]объемы!$N$24</f>
        <v>247051</v>
      </c>
      <c r="U7" s="34">
        <v>210717</v>
      </c>
      <c r="V7" s="34">
        <f>[5]стоимость!$E$17*1000+[15]объемы!$N$23+[15]объемы!$N$24</f>
        <v>210717</v>
      </c>
      <c r="W7" s="34">
        <f>[5]стоимость!$E$17*1000+[15]объемы!$N$23+[15]объемы!$N$24</f>
        <v>210717</v>
      </c>
      <c r="X7" s="34">
        <f>[5]стоимость!$E$17*1000+[15]объемы!$N$23+[15]объемы!$N$24</f>
        <v>210717</v>
      </c>
      <c r="Y7" s="34">
        <v>272884</v>
      </c>
      <c r="Z7" s="34">
        <f>[6]стоимость!$E$17*1000+[16]объемы!$N$23+[16]объемы!$N$24</f>
        <v>272884</v>
      </c>
      <c r="AA7" s="34">
        <f>[6]стоимость!$E$17*1000+[16]объемы!$N$23+[16]объемы!$N$24</f>
        <v>272884</v>
      </c>
      <c r="AB7" s="34">
        <f>[6]стоимость!$E$17*1000+[16]объемы!$N$23+[16]объемы!$N$24</f>
        <v>272884</v>
      </c>
      <c r="AC7" s="34">
        <v>258547</v>
      </c>
      <c r="AD7" s="34">
        <f>[7]стоимость!$E$17*1000+[17]объемы!$N$23+[17]объемы!$N$24</f>
        <v>258547</v>
      </c>
      <c r="AE7" s="34">
        <f>[7]стоимость!$E$17*1000+[17]объемы!$N$23+[17]объемы!$N$24</f>
        <v>258547</v>
      </c>
      <c r="AF7" s="34">
        <f>[7]стоимость!$E$17*1000+[17]объемы!$N$23+[17]объемы!$N$24</f>
        <v>258547</v>
      </c>
      <c r="AG7" s="34">
        <v>244469</v>
      </c>
      <c r="AH7" s="34">
        <f>[8]стоимость!$E$17*1000+[18]объемы!$N$23+[18]объемы!$N$24</f>
        <v>244469</v>
      </c>
      <c r="AI7" s="34">
        <f>[8]стоимость!$E$17*1000+[18]объемы!$N$23+[18]объемы!$N$24</f>
        <v>244469</v>
      </c>
      <c r="AJ7" s="34">
        <f>[8]стоимость!$E$17*1000+[18]объемы!$N$23+[18]объемы!$N$24</f>
        <v>244469</v>
      </c>
      <c r="AK7" s="34">
        <v>378797</v>
      </c>
      <c r="AL7" s="34">
        <f>[9]стоимость!$E$17*1000+[19]объемы!$N$23+[19]объемы!$N$24</f>
        <v>378797</v>
      </c>
      <c r="AM7" s="34">
        <f>[9]стоимость!$E$17*1000+[19]объемы!$N$23+[19]объемы!$N$24</f>
        <v>378797</v>
      </c>
      <c r="AN7" s="34">
        <f>[9]стоимость!$E$17*1000+[19]объемы!$N$23+[19]объемы!$N$24</f>
        <v>378797</v>
      </c>
      <c r="AO7" s="34">
        <v>643190</v>
      </c>
      <c r="AP7" s="34">
        <f>[10]стоимость!$E$17*1000+[20]объемы!$N$23+[20]объемы!$N$24</f>
        <v>643190</v>
      </c>
      <c r="AQ7" s="34">
        <f>[10]стоимость!$E$17*1000+[20]объемы!$N$23+[20]объемы!$N$24</f>
        <v>643190</v>
      </c>
      <c r="AR7" s="34">
        <f>[10]стоимость!$E$17*1000+[20]объемы!$N$23+[20]объемы!$N$24</f>
        <v>643190</v>
      </c>
      <c r="AS7" s="34">
        <v>849181</v>
      </c>
      <c r="AU7" s="4"/>
      <c r="AV7" s="4"/>
    </row>
    <row r="8" spans="1:49" ht="22.5" customHeight="1" x14ac:dyDescent="0.25">
      <c r="A8" s="41"/>
      <c r="B8" s="32" t="s">
        <v>16</v>
      </c>
      <c r="C8" s="32">
        <v>0.99316838523143058</v>
      </c>
      <c r="D8" s="34">
        <v>114175</v>
      </c>
      <c r="E8" s="34"/>
      <c r="F8" s="34">
        <v>0.89945726848035179</v>
      </c>
      <c r="G8" s="34">
        <v>94325</v>
      </c>
      <c r="H8" s="34">
        <f>[1]стоимость!$E$18*1000+[11]объемы!$N$25</f>
        <v>94325</v>
      </c>
      <c r="I8" s="34">
        <f>[1]стоимость!$E$18*1000+[11]объемы!$N$25</f>
        <v>94325</v>
      </c>
      <c r="J8" s="34">
        <v>105946</v>
      </c>
      <c r="K8" s="34">
        <f>[2]стоимость!$E$18*1000+[12]объемы!$N$25</f>
        <v>105946</v>
      </c>
      <c r="L8" s="34">
        <f>[2]стоимость!$E$18*1000+[12]объемы!$N$25</f>
        <v>105946</v>
      </c>
      <c r="M8" s="34">
        <v>78168</v>
      </c>
      <c r="N8" s="34">
        <f>[3]стоимость!$E$18*1000+[13]объемы!$N$25</f>
        <v>78168</v>
      </c>
      <c r="O8" s="34">
        <f>[3]стоимость!$E$18*1000+[13]объемы!$N$25</f>
        <v>78168</v>
      </c>
      <c r="P8" s="34">
        <f>[3]стоимость!$E$18*1000+[13]объемы!$N$25</f>
        <v>78168</v>
      </c>
      <c r="Q8" s="34">
        <v>81369</v>
      </c>
      <c r="R8" s="34">
        <f>[4]стоимость!$E$18*1000+[14]объемы!$N$25</f>
        <v>81369</v>
      </c>
      <c r="S8" s="34">
        <f>[4]стоимость!$E$18*1000+[14]объемы!$N$25</f>
        <v>81369</v>
      </c>
      <c r="T8" s="34">
        <f>[4]стоимость!$E$18*1000+[14]объемы!$N$25</f>
        <v>81369</v>
      </c>
      <c r="U8" s="34">
        <v>74508</v>
      </c>
      <c r="V8" s="34">
        <f>[5]стоимость!$E$18*1000+[15]объемы!$N$25</f>
        <v>74508</v>
      </c>
      <c r="W8" s="34">
        <f>[5]стоимость!$E$18*1000+[15]объемы!$N$25</f>
        <v>74508</v>
      </c>
      <c r="X8" s="34">
        <f>[5]стоимость!$E$18*1000+[15]объемы!$N$25</f>
        <v>74508</v>
      </c>
      <c r="Y8" s="34">
        <v>80368</v>
      </c>
      <c r="Z8" s="34">
        <f>[6]стоимость!$E$18*1000+[16]объемы!$N$25</f>
        <v>80368</v>
      </c>
      <c r="AA8" s="34">
        <f>[6]стоимость!$E$18*1000+[16]объемы!$N$25</f>
        <v>80368</v>
      </c>
      <c r="AB8" s="34">
        <f>[6]стоимость!$E$18*1000+[16]объемы!$N$25</f>
        <v>80368</v>
      </c>
      <c r="AC8" s="34">
        <v>33728</v>
      </c>
      <c r="AD8" s="34">
        <f>[7]стоимость!$E$18*1000+[17]объемы!$N$25</f>
        <v>33728</v>
      </c>
      <c r="AE8" s="34">
        <f>[7]стоимость!$E$18*1000+[17]объемы!$N$25</f>
        <v>33728</v>
      </c>
      <c r="AF8" s="34">
        <f>[7]стоимость!$E$18*1000+[17]объемы!$N$25</f>
        <v>33728</v>
      </c>
      <c r="AG8" s="34">
        <v>34491</v>
      </c>
      <c r="AH8" s="34">
        <f>[8]стоимость!$E$18*1000+[18]объемы!$N$25</f>
        <v>34491</v>
      </c>
      <c r="AI8" s="34">
        <f>[8]стоимость!$E$18*1000+[18]объемы!$N$25</f>
        <v>34491</v>
      </c>
      <c r="AJ8" s="34">
        <f>[8]стоимость!$E$18*1000+[18]объемы!$N$25</f>
        <v>34491</v>
      </c>
      <c r="AK8" s="34">
        <v>36709</v>
      </c>
      <c r="AL8" s="34">
        <f>[9]стоимость!$E$18*1000+[19]объемы!$N$25</f>
        <v>36709</v>
      </c>
      <c r="AM8" s="34">
        <f>[9]стоимость!$E$18*1000+[19]объемы!$N$25</f>
        <v>36709</v>
      </c>
      <c r="AN8" s="34">
        <f>[9]стоимость!$E$18*1000+[19]объемы!$N$25</f>
        <v>36709</v>
      </c>
      <c r="AO8" s="34">
        <v>92208</v>
      </c>
      <c r="AP8" s="34">
        <f>[10]стоимость!$E$18*1000+[20]объемы!$N$25</f>
        <v>92208</v>
      </c>
      <c r="AQ8" s="34">
        <f>[10]стоимость!$E$18*1000+[20]объемы!$N$25</f>
        <v>92208</v>
      </c>
      <c r="AR8" s="34">
        <f>[10]стоимость!$E$18*1000+[20]объемы!$N$25</f>
        <v>92208</v>
      </c>
      <c r="AS8" s="34">
        <v>73555</v>
      </c>
      <c r="AU8" s="4"/>
      <c r="AV8" s="4"/>
    </row>
    <row r="9" spans="1:49" ht="22.5" customHeight="1" x14ac:dyDescent="0.25">
      <c r="A9" s="41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50"/>
      <c r="AU9" s="4"/>
      <c r="AV9" s="24"/>
      <c r="AW9" s="15"/>
    </row>
    <row r="10" spans="1:49" ht="29.25" customHeight="1" x14ac:dyDescent="0.25">
      <c r="A10" s="41"/>
      <c r="B10" s="32" t="s">
        <v>23</v>
      </c>
      <c r="C10" s="35">
        <v>0.64114644680015709</v>
      </c>
      <c r="D10" s="34">
        <v>1743</v>
      </c>
      <c r="E10" s="34"/>
      <c r="F10" s="34">
        <v>1.1285976729944887</v>
      </c>
      <c r="G10" s="34">
        <v>1740</v>
      </c>
      <c r="H10" s="34">
        <f>[11]объемы!$N$26</f>
        <v>1740</v>
      </c>
      <c r="I10" s="34">
        <f>[11]объемы!$N$26</f>
        <v>1740</v>
      </c>
      <c r="J10" s="34">
        <v>984</v>
      </c>
      <c r="K10" s="34">
        <f>[12]объемы!$N$26</f>
        <v>984</v>
      </c>
      <c r="L10" s="34">
        <f>[12]объемы!$N$26</f>
        <v>984</v>
      </c>
      <c r="M10" s="34">
        <v>985</v>
      </c>
      <c r="N10" s="34">
        <f>[13]объемы!$N$26</f>
        <v>985</v>
      </c>
      <c r="O10" s="34">
        <f>[13]объемы!$N$26</f>
        <v>985</v>
      </c>
      <c r="P10" s="34">
        <f>[13]объемы!$N$26</f>
        <v>985</v>
      </c>
      <c r="Q10" s="34">
        <v>966</v>
      </c>
      <c r="R10" s="34">
        <f>[14]объемы!$N$26</f>
        <v>966</v>
      </c>
      <c r="S10" s="34">
        <f>[14]объемы!$N$26</f>
        <v>966</v>
      </c>
      <c r="T10" s="34">
        <f>[14]объемы!$N$26</f>
        <v>966</v>
      </c>
      <c r="U10" s="34">
        <v>1467</v>
      </c>
      <c r="V10" s="34">
        <f>[15]объемы!$N$26</f>
        <v>1467</v>
      </c>
      <c r="W10" s="34">
        <f>[15]объемы!$N$26</f>
        <v>1467</v>
      </c>
      <c r="X10" s="34">
        <f>[15]объемы!$N$26</f>
        <v>1467</v>
      </c>
      <c r="Y10" s="34">
        <v>1305</v>
      </c>
      <c r="Z10" s="34">
        <f>[16]объемы!$N$26</f>
        <v>1305</v>
      </c>
      <c r="AA10" s="34">
        <f>[16]объемы!$N$26</f>
        <v>1305</v>
      </c>
      <c r="AB10" s="34">
        <f>[16]объемы!$N$26</f>
        <v>1305</v>
      </c>
      <c r="AC10" s="34">
        <v>0</v>
      </c>
      <c r="AD10" s="34">
        <f>[17]объемы!$N$26</f>
        <v>1650</v>
      </c>
      <c r="AE10" s="34">
        <f>[17]объемы!$N$26</f>
        <v>1650</v>
      </c>
      <c r="AF10" s="34">
        <f>[17]объемы!$N$26</f>
        <v>1650</v>
      </c>
      <c r="AG10" s="34">
        <v>956</v>
      </c>
      <c r="AH10" s="34">
        <f>[18]объемы!$N$26</f>
        <v>956</v>
      </c>
      <c r="AI10" s="34">
        <f>[18]объемы!$N$26</f>
        <v>956</v>
      </c>
      <c r="AJ10" s="34">
        <f>[18]объемы!$N$26</f>
        <v>956</v>
      </c>
      <c r="AK10" s="34">
        <v>942</v>
      </c>
      <c r="AL10" s="34">
        <f>[19]объемы!$N$26</f>
        <v>942</v>
      </c>
      <c r="AM10" s="34">
        <f>[19]объемы!$N$26</f>
        <v>942</v>
      </c>
      <c r="AN10" s="34">
        <f>[19]объемы!$N$26</f>
        <v>942</v>
      </c>
      <c r="AO10" s="34">
        <v>950</v>
      </c>
      <c r="AP10" s="34">
        <f>[20]объемы!$N$26</f>
        <v>950</v>
      </c>
      <c r="AQ10" s="34">
        <f>[20]объемы!$N$26</f>
        <v>950</v>
      </c>
      <c r="AR10" s="34">
        <f>[20]объемы!$N$26</f>
        <v>950</v>
      </c>
      <c r="AS10" s="34">
        <v>1582</v>
      </c>
      <c r="AU10" s="4"/>
      <c r="AV10" s="4"/>
    </row>
    <row r="11" spans="1:49" ht="22.5" customHeight="1" x14ac:dyDescent="0.25">
      <c r="A11" s="46" t="s">
        <v>17</v>
      </c>
      <c r="B11" s="47"/>
      <c r="C11" s="36"/>
      <c r="D11" s="14">
        <f>SUM(D5:D8,D10)</f>
        <v>144331170</v>
      </c>
      <c r="E11" s="14"/>
      <c r="F11" s="14"/>
      <c r="G11" s="14">
        <f t="shared" ref="G11:AS11" si="0">SUM(G5:G8,G10)</f>
        <v>137516916</v>
      </c>
      <c r="H11" s="14"/>
      <c r="I11" s="14"/>
      <c r="J11" s="14">
        <f>SUM(J5:J8,J10)</f>
        <v>152047879</v>
      </c>
      <c r="K11" s="14"/>
      <c r="L11" s="14"/>
      <c r="M11" s="14">
        <f t="shared" si="0"/>
        <v>137734278</v>
      </c>
      <c r="N11" s="14"/>
      <c r="O11" s="14"/>
      <c r="P11" s="14"/>
      <c r="Q11" s="14">
        <f>SUM(Q5:Q8,Q10)</f>
        <v>124597223</v>
      </c>
      <c r="R11" s="14"/>
      <c r="S11" s="14"/>
      <c r="T11" s="14"/>
      <c r="U11" s="14">
        <f t="shared" si="0"/>
        <v>133869466</v>
      </c>
      <c r="V11" s="14"/>
      <c r="W11" s="14"/>
      <c r="X11" s="14"/>
      <c r="Y11" s="14">
        <f>SUM(Y5:Y8,Y10)</f>
        <v>143120576</v>
      </c>
      <c r="Z11" s="14"/>
      <c r="AA11" s="14"/>
      <c r="AB11" s="14"/>
      <c r="AC11" s="14">
        <f t="shared" si="0"/>
        <v>148481338</v>
      </c>
      <c r="AD11" s="14"/>
      <c r="AE11" s="14"/>
      <c r="AF11" s="14"/>
      <c r="AG11" s="14">
        <f>SUM(AG5:AG8,AG10)</f>
        <v>139414009</v>
      </c>
      <c r="AH11" s="14"/>
      <c r="AI11" s="14"/>
      <c r="AJ11" s="14"/>
      <c r="AK11" s="14">
        <f t="shared" si="0"/>
        <v>142245362</v>
      </c>
      <c r="AL11" s="14"/>
      <c r="AM11" s="14"/>
      <c r="AN11" s="14"/>
      <c r="AO11" s="14">
        <f t="shared" si="0"/>
        <v>147244309</v>
      </c>
      <c r="AP11" s="14"/>
      <c r="AQ11" s="14"/>
      <c r="AR11" s="14"/>
      <c r="AS11" s="14">
        <f t="shared" si="0"/>
        <v>155215241</v>
      </c>
      <c r="AU11" s="4"/>
      <c r="AV11" s="24"/>
      <c r="AW11" s="15"/>
    </row>
    <row r="12" spans="1:49" ht="22.5" customHeight="1" x14ac:dyDescent="0.25">
      <c r="AU12" s="4"/>
      <c r="AV12" s="4"/>
    </row>
    <row r="13" spans="1:49" ht="22.5" customHeight="1" x14ac:dyDescent="0.25">
      <c r="D13" s="28"/>
      <c r="E13" s="28"/>
      <c r="F13" s="28"/>
      <c r="J13" s="27"/>
      <c r="K13" s="27"/>
      <c r="L13" s="27"/>
      <c r="M13" s="25"/>
      <c r="N13" s="25"/>
      <c r="O13" s="25"/>
      <c r="P13" s="25"/>
      <c r="Q13" s="25"/>
      <c r="R13" s="25"/>
      <c r="S13" s="25"/>
      <c r="T13" s="2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38"/>
      <c r="AH13" s="38"/>
      <c r="AI13" s="38"/>
      <c r="AJ13" s="38"/>
      <c r="AK13" s="38"/>
      <c r="AO13" s="38"/>
      <c r="AS13" s="15"/>
    </row>
    <row r="14" spans="1:49" ht="22.5" customHeight="1" x14ac:dyDescent="0.25">
      <c r="D14" s="28"/>
      <c r="E14" s="28"/>
      <c r="F14" s="28"/>
      <c r="G14" s="19"/>
      <c r="H14" s="19"/>
      <c r="I14" s="19"/>
      <c r="J14" s="27"/>
      <c r="K14" s="27"/>
      <c r="L14" s="27"/>
      <c r="M14" s="25"/>
      <c r="N14" s="25"/>
      <c r="O14" s="25"/>
      <c r="P14" s="25"/>
      <c r="Q14" s="25"/>
      <c r="R14" s="25"/>
      <c r="S14" s="25"/>
      <c r="T14" s="2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38"/>
      <c r="AH14" s="38"/>
      <c r="AI14" s="38"/>
      <c r="AJ14" s="38"/>
      <c r="AK14" s="38"/>
      <c r="AL14" s="15"/>
      <c r="AM14" s="15"/>
      <c r="AN14" s="15"/>
      <c r="AS14" s="15"/>
    </row>
    <row r="15" spans="1:49" ht="22.5" customHeight="1" x14ac:dyDescent="0.25">
      <c r="D15" s="28"/>
      <c r="E15" s="28"/>
      <c r="F15" s="28"/>
      <c r="G15" s="18"/>
      <c r="H15" s="18"/>
      <c r="I15" s="18"/>
      <c r="J15" s="25"/>
      <c r="K15" s="25"/>
      <c r="L15" s="25"/>
      <c r="M15" s="25"/>
      <c r="N15" s="25"/>
      <c r="O15" s="25"/>
      <c r="P15" s="2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1:49" ht="22.5" customHeight="1" x14ac:dyDescent="0.25">
      <c r="D16" s="28"/>
      <c r="E16" s="28"/>
      <c r="F16" s="28"/>
      <c r="G16" s="15"/>
      <c r="H16" s="15"/>
      <c r="I16" s="15"/>
      <c r="J16" s="25"/>
      <c r="K16" s="25"/>
      <c r="L16" s="25"/>
      <c r="M16" s="25"/>
      <c r="N16" s="25"/>
      <c r="O16" s="25"/>
      <c r="P16" s="25"/>
      <c r="U16" s="15"/>
      <c r="V16" s="15"/>
      <c r="W16" s="15"/>
      <c r="X16" s="15"/>
      <c r="Y16" s="15"/>
      <c r="Z16" s="15"/>
      <c r="AA16" s="15"/>
      <c r="AB16" s="15"/>
      <c r="AG16" s="15"/>
      <c r="AH16" s="15"/>
      <c r="AI16" s="15"/>
      <c r="AJ16" s="15"/>
      <c r="AO16" s="15"/>
      <c r="AP16" s="15"/>
      <c r="AQ16" s="15"/>
      <c r="AR16" s="15"/>
      <c r="AS16" s="15"/>
    </row>
    <row r="17" spans="4:45" ht="22.5" customHeight="1" x14ac:dyDescent="0.25">
      <c r="D17" s="26"/>
      <c r="E17" s="26"/>
      <c r="F17" s="26"/>
      <c r="G17" s="15"/>
      <c r="H17" s="15"/>
      <c r="I17" s="15"/>
      <c r="J17" s="27"/>
      <c r="K17" s="27"/>
      <c r="L17" s="27"/>
      <c r="M17" s="25"/>
      <c r="N17" s="25"/>
      <c r="O17" s="25"/>
      <c r="P17" s="25"/>
      <c r="U17" s="15"/>
      <c r="V17" s="15"/>
      <c r="W17" s="15"/>
      <c r="X17" s="15"/>
      <c r="Y17" s="15"/>
      <c r="Z17" s="15"/>
      <c r="AA17" s="15"/>
      <c r="AB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4:45" ht="22.5" customHeight="1" x14ac:dyDescent="0.25">
      <c r="D18" s="4"/>
      <c r="E18" s="4"/>
      <c r="F18" s="4"/>
      <c r="G18" s="15"/>
      <c r="H18" s="15"/>
      <c r="I18" s="15"/>
      <c r="J18" s="15"/>
      <c r="K18" s="15"/>
      <c r="L18" s="15"/>
      <c r="M18" s="15"/>
      <c r="N18" s="15"/>
      <c r="O18" s="15"/>
      <c r="P18" s="15"/>
      <c r="U18" s="15"/>
      <c r="V18" s="15"/>
      <c r="W18" s="15"/>
      <c r="X18" s="15"/>
      <c r="AK18" s="15"/>
      <c r="AL18" s="15"/>
      <c r="AM18" s="15"/>
      <c r="AN18" s="15"/>
    </row>
    <row r="19" spans="4:45" ht="22.5" customHeight="1" x14ac:dyDescent="0.25">
      <c r="D19" s="4"/>
      <c r="E19" s="4"/>
      <c r="F19" s="4"/>
      <c r="Y19" s="15"/>
      <c r="Z19" s="15"/>
      <c r="AA19" s="15"/>
      <c r="AB19" s="15"/>
      <c r="AC19" s="15"/>
      <c r="AD19" s="15"/>
      <c r="AE19" s="15"/>
      <c r="AF19" s="15"/>
      <c r="AK19" s="15"/>
      <c r="AL19" s="15"/>
      <c r="AM19" s="15"/>
      <c r="AN19" s="15"/>
    </row>
    <row r="20" spans="4:45" ht="22.5" customHeight="1" x14ac:dyDescent="0.25">
      <c r="D20" s="4"/>
      <c r="E20" s="4"/>
      <c r="F20" s="4"/>
      <c r="U20" s="15"/>
      <c r="V20" s="15"/>
      <c r="W20" s="15"/>
      <c r="X20" s="15"/>
      <c r="AC20" s="15"/>
      <c r="AD20" s="15"/>
      <c r="AE20" s="15"/>
      <c r="AF20" s="15"/>
    </row>
    <row r="21" spans="4:45" ht="22.5" customHeight="1" x14ac:dyDescent="0.25">
      <c r="D21" s="4"/>
      <c r="E21" s="4"/>
      <c r="F21" s="4"/>
    </row>
    <row r="22" spans="4:45" ht="22.5" customHeight="1" x14ac:dyDescent="0.25">
      <c r="Y22" s="15"/>
      <c r="Z22" s="15"/>
      <c r="AA22" s="15"/>
      <c r="AB22" s="15"/>
    </row>
    <row r="25" spans="4:45" ht="22.5" customHeight="1" x14ac:dyDescent="0.25">
      <c r="Y25" s="15"/>
      <c r="Z25" s="15"/>
      <c r="AA25" s="15"/>
      <c r="AB25" s="15"/>
    </row>
    <row r="30" spans="4:45" ht="22.5" customHeight="1" x14ac:dyDescent="0.25">
      <c r="Y30" s="15"/>
      <c r="Z30" s="15"/>
      <c r="AA30" s="15"/>
      <c r="AB30" s="15"/>
    </row>
  </sheetData>
  <mergeCells count="5">
    <mergeCell ref="A2:AS2"/>
    <mergeCell ref="A4:A10"/>
    <mergeCell ref="B4:AS4"/>
    <mergeCell ref="B9:AS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zoomScaleNormal="100" workbookViewId="0">
      <pane xSplit="2" ySplit="4" topLeftCell="M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0.140625" style="1" customWidth="1"/>
    <col min="15" max="16" width="11.140625" style="1" bestFit="1" customWidth="1"/>
    <col min="17" max="17" width="14" style="1" customWidth="1"/>
    <col min="18" max="18" width="11.7109375" style="1" bestFit="1" customWidth="1"/>
    <col min="19" max="16384" width="9.140625" style="1"/>
  </cols>
  <sheetData>
    <row r="2" spans="1:18" s="4" customFormat="1" ht="42.75" customHeight="1" x14ac:dyDescent="0.25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8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8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8" ht="22.5" customHeight="1" x14ac:dyDescent="0.25">
      <c r="A5" s="41"/>
      <c r="B5" s="32" t="s">
        <v>19</v>
      </c>
      <c r="C5" s="33">
        <v>718411</v>
      </c>
      <c r="D5" s="33">
        <v>628921</v>
      </c>
      <c r="E5" s="33">
        <v>530844</v>
      </c>
      <c r="F5" s="33">
        <v>90360</v>
      </c>
      <c r="G5" s="33">
        <v>100317</v>
      </c>
      <c r="H5" s="33">
        <v>129223.00000000001</v>
      </c>
      <c r="I5" s="33">
        <v>159678</v>
      </c>
      <c r="J5" s="33">
        <v>171187</v>
      </c>
      <c r="K5" s="33">
        <v>267891</v>
      </c>
      <c r="L5" s="33">
        <v>254397</v>
      </c>
      <c r="M5" s="33">
        <v>364013</v>
      </c>
      <c r="N5" s="33">
        <v>778471</v>
      </c>
      <c r="O5" s="30">
        <f>[21]стоимость!$E$8*1000</f>
        <v>254397</v>
      </c>
      <c r="P5" s="24"/>
      <c r="Q5" s="24"/>
      <c r="R5" s="15"/>
    </row>
    <row r="6" spans="1:18" ht="22.5" customHeight="1" x14ac:dyDescent="0.25">
      <c r="A6" s="41"/>
      <c r="B6" s="32" t="s">
        <v>14</v>
      </c>
      <c r="C6" s="34">
        <v>146513832</v>
      </c>
      <c r="D6" s="34">
        <v>139405272</v>
      </c>
      <c r="E6" s="34">
        <v>150036542</v>
      </c>
      <c r="F6" s="34">
        <v>141109186</v>
      </c>
      <c r="G6" s="34">
        <f>139224148+2878624</f>
        <v>142102772</v>
      </c>
      <c r="H6" s="34">
        <v>144218438</v>
      </c>
      <c r="I6" s="34">
        <v>143743719</v>
      </c>
      <c r="J6" s="34">
        <f>143808288+2554111</f>
        <v>146362399</v>
      </c>
      <c r="K6" s="34">
        <v>138473780</v>
      </c>
      <c r="L6" s="34">
        <v>147073361</v>
      </c>
      <c r="M6" s="34">
        <v>152750456</v>
      </c>
      <c r="N6" s="34">
        <v>160312453</v>
      </c>
      <c r="O6" s="29">
        <f>([21]стоимость!$E$9+[21]стоимость!$E$15)*1000+[22]объемы!$R$19</f>
        <v>147073361</v>
      </c>
      <c r="P6" s="24"/>
      <c r="Q6" s="24"/>
    </row>
    <row r="7" spans="1:18" ht="22.5" customHeight="1" x14ac:dyDescent="0.25">
      <c r="A7" s="41"/>
      <c r="B7" s="32" t="s">
        <v>15</v>
      </c>
      <c r="C7" s="34">
        <v>903953</v>
      </c>
      <c r="D7" s="34">
        <v>653067</v>
      </c>
      <c r="E7" s="34">
        <v>491187</v>
      </c>
      <c r="F7" s="34">
        <v>364680</v>
      </c>
      <c r="G7" s="34">
        <f>162570+200766</f>
        <v>363336</v>
      </c>
      <c r="H7" s="34">
        <v>338136</v>
      </c>
      <c r="I7" s="34">
        <v>393069</v>
      </c>
      <c r="J7" s="34">
        <f>185184+186452</f>
        <v>371636</v>
      </c>
      <c r="K7" s="34">
        <v>369976</v>
      </c>
      <c r="L7" s="34">
        <v>466220</v>
      </c>
      <c r="M7" s="34">
        <v>500943</v>
      </c>
      <c r="N7" s="34">
        <v>609751</v>
      </c>
      <c r="O7" s="30">
        <f>[21]стоимость!$E$17*1000+[22]объемы!$R$23</f>
        <v>466220</v>
      </c>
      <c r="P7" s="24"/>
      <c r="Q7" s="24"/>
    </row>
    <row r="8" spans="1:18" ht="22.5" customHeight="1" x14ac:dyDescent="0.25">
      <c r="A8" s="41"/>
      <c r="B8" s="32" t="s">
        <v>16</v>
      </c>
      <c r="C8" s="34">
        <v>92732</v>
      </c>
      <c r="D8" s="34">
        <v>75849</v>
      </c>
      <c r="E8" s="34">
        <v>73304</v>
      </c>
      <c r="F8" s="34">
        <v>52622</v>
      </c>
      <c r="G8" s="34">
        <f>33820+14900</f>
        <v>48720</v>
      </c>
      <c r="H8" s="34">
        <v>45368</v>
      </c>
      <c r="I8" s="34">
        <v>49092</v>
      </c>
      <c r="J8" s="34">
        <f>36239+11975</f>
        <v>48214</v>
      </c>
      <c r="K8" s="34">
        <v>52178</v>
      </c>
      <c r="L8" s="34">
        <v>66584</v>
      </c>
      <c r="M8" s="34">
        <v>80130</v>
      </c>
      <c r="N8" s="34">
        <v>95888</v>
      </c>
      <c r="O8" s="30">
        <f>[21]стоимость!$E$18*1000+[22]объемы!$R$26</f>
        <v>66584</v>
      </c>
      <c r="P8" s="24"/>
      <c r="Q8" s="24"/>
    </row>
    <row r="9" spans="1:18" ht="22.5" customHeight="1" x14ac:dyDescent="0.25">
      <c r="A9" s="41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30"/>
      <c r="P9" s="4"/>
      <c r="Q9" s="24"/>
      <c r="R9" s="15"/>
    </row>
    <row r="10" spans="1:18" ht="29.25" customHeight="1" x14ac:dyDescent="0.25">
      <c r="A10" s="41"/>
      <c r="B10" s="32" t="s">
        <v>23</v>
      </c>
      <c r="C10" s="34">
        <v>2163</v>
      </c>
      <c r="D10" s="34">
        <v>1940</v>
      </c>
      <c r="E10" s="34">
        <v>1048</v>
      </c>
      <c r="F10" s="34">
        <v>984</v>
      </c>
      <c r="G10" s="34">
        <v>961</v>
      </c>
      <c r="H10" s="34">
        <v>783</v>
      </c>
      <c r="I10" s="34">
        <v>778</v>
      </c>
      <c r="J10" s="34">
        <v>540</v>
      </c>
      <c r="K10" s="34">
        <v>771</v>
      </c>
      <c r="L10" s="34">
        <f>[22]объемы!$R$27</f>
        <v>885</v>
      </c>
      <c r="M10" s="34">
        <v>1023</v>
      </c>
      <c r="N10" s="34">
        <v>1042</v>
      </c>
      <c r="O10" s="29">
        <f>[22]объемы!$R$27</f>
        <v>885</v>
      </c>
      <c r="P10" s="4"/>
      <c r="Q10" s="4"/>
    </row>
    <row r="11" spans="1:18" ht="22.5" customHeight="1" x14ac:dyDescent="0.25">
      <c r="A11" s="46" t="s">
        <v>17</v>
      </c>
      <c r="B11" s="47"/>
      <c r="C11" s="14">
        <f>SUM(C5:C8,C10)</f>
        <v>148231091</v>
      </c>
      <c r="D11" s="14">
        <f t="shared" ref="D11:N11" si="0">SUM(D5:D8,D10)</f>
        <v>140765049</v>
      </c>
      <c r="E11" s="14">
        <f>SUM(E5:E8,E10)</f>
        <v>151132925</v>
      </c>
      <c r="F11" s="14">
        <f t="shared" si="0"/>
        <v>141617832</v>
      </c>
      <c r="G11" s="14">
        <f>SUM(G5:G8,G10)</f>
        <v>142616106</v>
      </c>
      <c r="H11" s="14">
        <f t="shared" si="0"/>
        <v>144731948</v>
      </c>
      <c r="I11" s="14">
        <f>SUM(I5:I8,I10)</f>
        <v>144346336</v>
      </c>
      <c r="J11" s="14">
        <f t="shared" si="0"/>
        <v>146953976</v>
      </c>
      <c r="K11" s="14">
        <f>SUM(K5:K8,K10)</f>
        <v>139164596</v>
      </c>
      <c r="L11" s="14">
        <f t="shared" si="0"/>
        <v>147861447</v>
      </c>
      <c r="M11" s="14">
        <f t="shared" si="0"/>
        <v>153696565</v>
      </c>
      <c r="N11" s="14">
        <f t="shared" si="0"/>
        <v>161797605</v>
      </c>
      <c r="P11" s="4"/>
      <c r="Q11" s="24"/>
      <c r="R11" s="15"/>
    </row>
    <row r="12" spans="1:18" ht="22.5" customHeight="1" x14ac:dyDescent="0.25">
      <c r="P12" s="4"/>
      <c r="Q12" s="4"/>
    </row>
    <row r="13" spans="1:18" ht="22.5" customHeight="1" x14ac:dyDescent="0.25">
      <c r="C13" s="28"/>
      <c r="E13" s="27"/>
      <c r="F13" s="25"/>
      <c r="G13" s="25"/>
      <c r="H13" s="15"/>
      <c r="I13" s="15"/>
      <c r="J13" s="15"/>
      <c r="K13" s="38"/>
      <c r="L13" s="38"/>
      <c r="M13" s="38"/>
      <c r="N13" s="15"/>
    </row>
    <row r="14" spans="1:18" ht="22.5" customHeight="1" x14ac:dyDescent="0.25">
      <c r="C14" s="28"/>
      <c r="D14" s="19"/>
      <c r="E14" s="27"/>
      <c r="F14" s="25"/>
      <c r="G14" s="25"/>
      <c r="H14" s="15"/>
      <c r="I14" s="15"/>
      <c r="J14" s="15"/>
      <c r="K14" s="38"/>
      <c r="L14" s="38"/>
      <c r="N14" s="15"/>
    </row>
    <row r="15" spans="1:18" ht="22.5" customHeight="1" x14ac:dyDescent="0.25">
      <c r="C15" s="28"/>
      <c r="D15" s="18"/>
      <c r="E15" s="25"/>
      <c r="F15" s="25"/>
      <c r="G15" s="15"/>
      <c r="H15" s="15"/>
      <c r="I15" s="15"/>
      <c r="J15" s="15"/>
      <c r="K15" s="15"/>
      <c r="L15" s="15"/>
      <c r="M15" s="15"/>
      <c r="N15" s="15"/>
    </row>
    <row r="16" spans="1:18" ht="22.5" customHeight="1" x14ac:dyDescent="0.25">
      <c r="C16" s="28"/>
      <c r="D16" s="15"/>
      <c r="E16" s="25"/>
      <c r="F16" s="25"/>
      <c r="H16" s="15"/>
      <c r="I16" s="15"/>
      <c r="K16" s="15"/>
      <c r="M16" s="15"/>
      <c r="N16" s="15"/>
    </row>
    <row r="17" spans="3:14" ht="22.5" customHeight="1" x14ac:dyDescent="0.25">
      <c r="C17" s="26"/>
      <c r="D17" s="15"/>
      <c r="E17" s="27"/>
      <c r="F17" s="25"/>
      <c r="H17" s="15"/>
      <c r="I17" s="15"/>
      <c r="K17" s="15"/>
      <c r="L17" s="15"/>
      <c r="M17" s="15"/>
      <c r="N17" s="15"/>
    </row>
    <row r="18" spans="3:14" ht="22.5" customHeight="1" x14ac:dyDescent="0.25">
      <c r="C18" s="4"/>
      <c r="D18" s="15"/>
      <c r="E18" s="15"/>
      <c r="F18" s="15"/>
      <c r="H18" s="15"/>
      <c r="L18" s="15"/>
    </row>
    <row r="19" spans="3:14" ht="22.5" customHeight="1" x14ac:dyDescent="0.25">
      <c r="C19" s="4"/>
      <c r="I19" s="15"/>
      <c r="J19" s="15"/>
      <c r="L19" s="15"/>
    </row>
    <row r="20" spans="3:14" ht="22.5" customHeight="1" x14ac:dyDescent="0.25">
      <c r="C20" s="4"/>
      <c r="H20" s="15"/>
      <c r="J20" s="15"/>
    </row>
    <row r="21" spans="3:14" ht="22.5" customHeight="1" x14ac:dyDescent="0.25">
      <c r="C21" s="4"/>
    </row>
    <row r="22" spans="3:14" ht="22.5" customHeight="1" x14ac:dyDescent="0.25">
      <c r="I22" s="15"/>
    </row>
    <row r="25" spans="3:14" ht="22.5" customHeight="1" x14ac:dyDescent="0.25">
      <c r="I25" s="15"/>
    </row>
    <row r="30" spans="3:14" ht="22.5" customHeight="1" x14ac:dyDescent="0.25">
      <c r="I30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workbookViewId="0">
      <pane xSplit="2" ySplit="4" topLeftCell="L5" activePane="bottomRight" state="frozen"/>
      <selection pane="topRight" activeCell="C1" sqref="C1"/>
      <selection pane="bottomLeft" activeCell="A5" sqref="A5"/>
      <selection pane="bottomRight" activeCell="P10" sqref="P10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0.140625" style="1" customWidth="1"/>
    <col min="15" max="16" width="11.140625" style="1" bestFit="1" customWidth="1"/>
    <col min="17" max="17" width="14" style="1" customWidth="1"/>
    <col min="18" max="18" width="11.7109375" style="1" bestFit="1" customWidth="1"/>
    <col min="19" max="16384" width="9.140625" style="1"/>
  </cols>
  <sheetData>
    <row r="2" spans="1:18" s="4" customFormat="1" ht="42.75" customHeight="1" x14ac:dyDescent="0.25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8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8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8" ht="22.5" customHeight="1" x14ac:dyDescent="0.25">
      <c r="A5" s="41"/>
      <c r="B5" s="32" t="s">
        <v>19</v>
      </c>
      <c r="C5" s="33">
        <v>928102</v>
      </c>
      <c r="D5" s="33">
        <v>877174</v>
      </c>
      <c r="E5" s="33">
        <v>815651</v>
      </c>
      <c r="F5" s="33">
        <v>440956</v>
      </c>
      <c r="G5" s="33">
        <v>269377</v>
      </c>
      <c r="H5" s="33">
        <v>252621</v>
      </c>
      <c r="I5" s="33">
        <v>271196</v>
      </c>
      <c r="J5" s="33">
        <v>252786</v>
      </c>
      <c r="K5" s="33">
        <v>215075</v>
      </c>
      <c r="L5" s="33">
        <v>478065</v>
      </c>
      <c r="M5" s="33">
        <v>686784</v>
      </c>
      <c r="N5" s="33">
        <v>891299</v>
      </c>
      <c r="O5" s="30">
        <f>[21]стоимость!$E$8*1000</f>
        <v>254397</v>
      </c>
      <c r="P5" s="24"/>
      <c r="Q5" s="24"/>
      <c r="R5" s="15"/>
    </row>
    <row r="6" spans="1:18" ht="22.5" customHeight="1" x14ac:dyDescent="0.25">
      <c r="A6" s="41"/>
      <c r="B6" s="32" t="s">
        <v>14</v>
      </c>
      <c r="C6" s="34">
        <f>154840052+7580017</f>
        <v>162420069</v>
      </c>
      <c r="D6" s="34">
        <v>158475824</v>
      </c>
      <c r="E6" s="34">
        <v>164184240</v>
      </c>
      <c r="F6" s="34">
        <v>151084554</v>
      </c>
      <c r="G6" s="33">
        <v>148966322</v>
      </c>
      <c r="H6" s="34">
        <f>157555064+1657192</f>
        <v>159212256</v>
      </c>
      <c r="I6" s="33">
        <v>157627525</v>
      </c>
      <c r="J6" s="34">
        <f>164870733+1766468</f>
        <v>166637201</v>
      </c>
      <c r="K6" s="34">
        <f>160989834+1651746</f>
        <v>162641580</v>
      </c>
      <c r="L6" s="34">
        <v>172815660</v>
      </c>
      <c r="M6" s="34">
        <f>168592584+3585816</f>
        <v>172178400</v>
      </c>
      <c r="N6" s="34">
        <v>183819652</v>
      </c>
      <c r="O6" s="29">
        <f>([21]стоимость!$E$9+[21]стоимость!$E$15)*1000+[22]объемы!$R$19</f>
        <v>147073361</v>
      </c>
      <c r="P6" s="24"/>
      <c r="Q6" s="24"/>
      <c r="R6" s="15"/>
    </row>
    <row r="7" spans="1:18" ht="22.5" customHeight="1" x14ac:dyDescent="0.25">
      <c r="A7" s="41"/>
      <c r="B7" s="32" t="s">
        <v>15</v>
      </c>
      <c r="C7" s="34">
        <f>169402+481642</f>
        <v>651044</v>
      </c>
      <c r="D7" s="34">
        <v>578880</v>
      </c>
      <c r="E7" s="34">
        <v>575851</v>
      </c>
      <c r="F7" s="34">
        <v>433128</v>
      </c>
      <c r="G7" s="33">
        <v>386684</v>
      </c>
      <c r="H7" s="34">
        <f>181593+166719</f>
        <v>348312</v>
      </c>
      <c r="I7" s="33">
        <v>398115</v>
      </c>
      <c r="J7" s="34">
        <f>185673+214841</f>
        <v>400514</v>
      </c>
      <c r="K7" s="34">
        <f>167318+167431</f>
        <v>334749</v>
      </c>
      <c r="L7" s="34">
        <v>487539</v>
      </c>
      <c r="M7" s="34">
        <f>192275+340383</f>
        <v>532658</v>
      </c>
      <c r="N7" s="34">
        <v>563618</v>
      </c>
      <c r="O7" s="30">
        <f>[21]стоимость!$E$17*1000+[22]объемы!$R$23</f>
        <v>466220</v>
      </c>
      <c r="P7" s="24"/>
      <c r="Q7" s="24"/>
      <c r="R7" s="15"/>
    </row>
    <row r="8" spans="1:18" ht="22.5" customHeight="1" x14ac:dyDescent="0.25">
      <c r="A8" s="41"/>
      <c r="B8" s="32" t="s">
        <v>16</v>
      </c>
      <c r="C8" s="34">
        <f>33642+70672</f>
        <v>104314</v>
      </c>
      <c r="D8" s="34">
        <v>94492</v>
      </c>
      <c r="E8" s="34">
        <v>74125</v>
      </c>
      <c r="F8" s="34">
        <v>49709</v>
      </c>
      <c r="G8" s="33">
        <v>51440</v>
      </c>
      <c r="H8" s="34">
        <f>32150+15324</f>
        <v>47474</v>
      </c>
      <c r="I8" s="33">
        <v>50359</v>
      </c>
      <c r="J8" s="34">
        <f>34136+11389</f>
        <v>45525</v>
      </c>
      <c r="K8" s="34">
        <f>34770+13919</f>
        <v>48689</v>
      </c>
      <c r="L8" s="34">
        <v>60668</v>
      </c>
      <c r="M8" s="34">
        <f>32276+33769</f>
        <v>66045</v>
      </c>
      <c r="N8" s="34">
        <v>88568</v>
      </c>
      <c r="O8" s="30">
        <f>[21]стоимость!$E$18*1000+[22]объемы!$R$26</f>
        <v>66584</v>
      </c>
      <c r="P8" s="24"/>
      <c r="Q8" s="24"/>
      <c r="R8" s="15"/>
    </row>
    <row r="9" spans="1:18" ht="22.5" customHeight="1" x14ac:dyDescent="0.25">
      <c r="A9" s="41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30"/>
      <c r="P9" s="4"/>
      <c r="Q9" s="24"/>
      <c r="R9" s="15"/>
    </row>
    <row r="10" spans="1:18" ht="29.25" customHeight="1" x14ac:dyDescent="0.25">
      <c r="A10" s="41"/>
      <c r="B10" s="32" t="s">
        <v>23</v>
      </c>
      <c r="C10" s="34">
        <v>1050</v>
      </c>
      <c r="D10" s="34">
        <v>6151</v>
      </c>
      <c r="E10" s="34">
        <v>949</v>
      </c>
      <c r="F10" s="34">
        <v>950</v>
      </c>
      <c r="G10" s="34">
        <v>755</v>
      </c>
      <c r="H10" s="34">
        <v>720</v>
      </c>
      <c r="I10" s="34">
        <v>1601</v>
      </c>
      <c r="J10" s="34">
        <v>814</v>
      </c>
      <c r="K10" s="34">
        <v>815</v>
      </c>
      <c r="L10" s="34">
        <v>734</v>
      </c>
      <c r="M10" s="34">
        <v>930</v>
      </c>
      <c r="N10" s="34">
        <v>992</v>
      </c>
      <c r="O10" s="29">
        <f>[22]объемы!$R$27</f>
        <v>885</v>
      </c>
      <c r="P10" s="24"/>
      <c r="Q10" s="24"/>
    </row>
    <row r="11" spans="1:18" ht="22.5" customHeight="1" x14ac:dyDescent="0.25">
      <c r="A11" s="46" t="s">
        <v>17</v>
      </c>
      <c r="B11" s="47"/>
      <c r="C11" s="14">
        <f>SUM(C5:C8,C10)</f>
        <v>164104579</v>
      </c>
      <c r="D11" s="14">
        <f t="shared" ref="D11:N11" si="0">SUM(D5:D8,D10)</f>
        <v>160032521</v>
      </c>
      <c r="E11" s="14">
        <f>SUM(E5:E8,E10)</f>
        <v>165650816</v>
      </c>
      <c r="F11" s="14">
        <f t="shared" si="0"/>
        <v>152009297</v>
      </c>
      <c r="G11" s="14">
        <f>SUM(G5:G8,G10)</f>
        <v>149674578</v>
      </c>
      <c r="H11" s="14">
        <f t="shared" si="0"/>
        <v>159861383</v>
      </c>
      <c r="I11" s="14">
        <f>SUM(I5:I8,I10)</f>
        <v>158348796</v>
      </c>
      <c r="J11" s="14">
        <f t="shared" si="0"/>
        <v>167336840</v>
      </c>
      <c r="K11" s="14">
        <f>SUM(K5:K8,K10)</f>
        <v>163240908</v>
      </c>
      <c r="L11" s="14">
        <f t="shared" si="0"/>
        <v>173842666</v>
      </c>
      <c r="M11" s="14">
        <f t="shared" si="0"/>
        <v>173464817</v>
      </c>
      <c r="N11" s="14">
        <f t="shared" si="0"/>
        <v>185364129</v>
      </c>
      <c r="P11" s="4"/>
      <c r="Q11" s="24"/>
      <c r="R11" s="15"/>
    </row>
    <row r="12" spans="1:18" ht="22.5" customHeight="1" x14ac:dyDescent="0.25">
      <c r="P12" s="4"/>
      <c r="Q12" s="4"/>
    </row>
    <row r="13" spans="1:18" ht="22.5" customHeight="1" x14ac:dyDescent="0.25">
      <c r="C13" s="28"/>
      <c r="E13" s="27"/>
      <c r="F13" s="25"/>
      <c r="G13" s="25"/>
      <c r="H13" s="15"/>
      <c r="I13" s="15"/>
      <c r="J13" s="15"/>
      <c r="K13" s="38"/>
      <c r="L13" s="38"/>
      <c r="M13" s="38"/>
      <c r="N13" s="15"/>
    </row>
    <row r="14" spans="1:18" ht="22.5" customHeight="1" x14ac:dyDescent="0.25">
      <c r="C14" s="28"/>
      <c r="D14" s="19"/>
      <c r="E14" s="27"/>
      <c r="F14" s="25"/>
      <c r="G14" s="25"/>
      <c r="H14" s="15"/>
      <c r="I14" s="15"/>
      <c r="J14" s="15"/>
      <c r="K14" s="38"/>
      <c r="L14" s="38"/>
      <c r="N14" s="15"/>
    </row>
    <row r="15" spans="1:18" ht="22.5" customHeight="1" x14ac:dyDescent="0.25">
      <c r="C15" s="28"/>
      <c r="D15" s="18"/>
      <c r="E15" s="25"/>
      <c r="F15" s="25"/>
      <c r="G15" s="15"/>
      <c r="H15" s="15"/>
      <c r="I15" s="15"/>
      <c r="J15" s="15"/>
      <c r="K15" s="15"/>
      <c r="L15" s="15"/>
      <c r="M15" s="15"/>
      <c r="N15" s="15"/>
    </row>
    <row r="16" spans="1:18" ht="22.5" customHeight="1" x14ac:dyDescent="0.25">
      <c r="C16" s="28"/>
      <c r="D16" s="15"/>
      <c r="E16" s="25"/>
      <c r="F16" s="25"/>
      <c r="H16" s="15"/>
      <c r="I16" s="15"/>
      <c r="K16" s="15"/>
      <c r="M16" s="15"/>
      <c r="N16" s="15"/>
    </row>
    <row r="17" spans="3:14" ht="22.5" customHeight="1" x14ac:dyDescent="0.25">
      <c r="C17" s="26"/>
      <c r="D17" s="15"/>
      <c r="E17" s="27"/>
      <c r="F17" s="25"/>
      <c r="H17" s="15"/>
      <c r="I17" s="15"/>
      <c r="K17" s="15"/>
      <c r="L17" s="15"/>
      <c r="M17" s="15"/>
      <c r="N17" s="15"/>
    </row>
    <row r="18" spans="3:14" ht="22.5" customHeight="1" x14ac:dyDescent="0.25">
      <c r="C18" s="4"/>
      <c r="D18" s="15"/>
      <c r="E18" s="15"/>
      <c r="F18" s="15"/>
      <c r="H18" s="15"/>
      <c r="L18" s="15"/>
    </row>
    <row r="19" spans="3:14" ht="22.5" customHeight="1" x14ac:dyDescent="0.25">
      <c r="C19" s="4"/>
      <c r="I19" s="15"/>
      <c r="J19" s="15"/>
      <c r="L19" s="15"/>
    </row>
    <row r="20" spans="3:14" ht="22.5" customHeight="1" x14ac:dyDescent="0.25">
      <c r="C20" s="4"/>
      <c r="H20" s="15"/>
      <c r="J20" s="15"/>
    </row>
    <row r="21" spans="3:14" ht="22.5" customHeight="1" x14ac:dyDescent="0.25">
      <c r="C21" s="4"/>
    </row>
    <row r="22" spans="3:14" ht="22.5" customHeight="1" x14ac:dyDescent="0.25">
      <c r="I22" s="15"/>
    </row>
    <row r="25" spans="3:14" ht="22.5" customHeight="1" x14ac:dyDescent="0.25">
      <c r="I25" s="15"/>
    </row>
    <row r="30" spans="3:14" ht="22.5" customHeight="1" x14ac:dyDescent="0.25">
      <c r="I30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opLeftCell="A3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s="4" customFormat="1" ht="42.7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s="4" customFormat="1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s="4" customFormat="1" ht="22.5" customHeight="1" x14ac:dyDescent="0.25">
      <c r="A5" s="41"/>
      <c r="B5" s="9" t="s">
        <v>19</v>
      </c>
      <c r="C5" s="21">
        <v>2798922</v>
      </c>
      <c r="D5" s="21">
        <v>2632123</v>
      </c>
      <c r="E5" s="21">
        <v>3888607</v>
      </c>
      <c r="F5" s="21">
        <v>3593665</v>
      </c>
      <c r="G5" s="21">
        <v>2684689</v>
      </c>
      <c r="H5" s="21">
        <v>2459719</v>
      </c>
      <c r="I5" s="21">
        <v>1468802</v>
      </c>
      <c r="J5" s="21">
        <v>1336964</v>
      </c>
      <c r="K5" s="21">
        <v>1061959</v>
      </c>
      <c r="L5" s="21">
        <v>1523278</v>
      </c>
      <c r="M5" s="21">
        <v>1820487</v>
      </c>
      <c r="N5" s="21">
        <v>1964089</v>
      </c>
    </row>
    <row r="6" spans="1:14" ht="22.5" customHeight="1" x14ac:dyDescent="0.25">
      <c r="A6" s="41"/>
      <c r="B6" s="9" t="s">
        <v>14</v>
      </c>
      <c r="C6" s="13">
        <f>125197579-63628</f>
        <v>125133951</v>
      </c>
      <c r="D6" s="13">
        <v>179368227</v>
      </c>
      <c r="E6" s="13">
        <v>180334203</v>
      </c>
      <c r="F6" s="13">
        <v>169179495</v>
      </c>
      <c r="G6" s="13">
        <v>160299138</v>
      </c>
      <c r="H6" s="13">
        <v>164762470</v>
      </c>
      <c r="I6" s="13">
        <v>130257109</v>
      </c>
      <c r="J6" s="13">
        <v>160026412</v>
      </c>
      <c r="K6" s="13">
        <v>141902193</v>
      </c>
      <c r="L6" s="13">
        <v>170103945</v>
      </c>
      <c r="M6" s="13">
        <v>156546536</v>
      </c>
      <c r="N6" s="13">
        <v>160069948</v>
      </c>
    </row>
    <row r="7" spans="1:14" ht="22.5" customHeight="1" x14ac:dyDescent="0.25">
      <c r="A7" s="41"/>
      <c r="B7" s="9" t="s">
        <v>15</v>
      </c>
      <c r="C7" s="13">
        <v>864698</v>
      </c>
      <c r="D7" s="13">
        <v>1179027</v>
      </c>
      <c r="E7" s="13">
        <v>912934</v>
      </c>
      <c r="F7" s="13">
        <v>1667719</v>
      </c>
      <c r="G7" s="13">
        <v>738369</v>
      </c>
      <c r="H7" s="13">
        <v>776537</v>
      </c>
      <c r="I7" s="13">
        <v>781809</v>
      </c>
      <c r="J7" s="13">
        <v>914004</v>
      </c>
      <c r="K7" s="13">
        <v>973191</v>
      </c>
      <c r="L7" s="13">
        <v>1837376</v>
      </c>
      <c r="M7" s="13">
        <v>1948913</v>
      </c>
      <c r="N7" s="13">
        <v>2136511</v>
      </c>
    </row>
    <row r="8" spans="1:14" ht="22.5" customHeight="1" x14ac:dyDescent="0.25">
      <c r="A8" s="41"/>
      <c r="B8" s="9" t="s">
        <v>16</v>
      </c>
      <c r="C8" s="13">
        <v>228897</v>
      </c>
      <c r="D8" s="13">
        <v>278397</v>
      </c>
      <c r="E8" s="13">
        <v>259393</v>
      </c>
      <c r="F8" s="13">
        <v>224869</v>
      </c>
      <c r="G8" s="13">
        <v>199038</v>
      </c>
      <c r="H8" s="13">
        <v>181522</v>
      </c>
      <c r="I8" s="13">
        <v>147371</v>
      </c>
      <c r="J8" s="13">
        <v>66119</v>
      </c>
      <c r="K8" s="13">
        <v>63438</v>
      </c>
      <c r="L8" s="13">
        <v>103047</v>
      </c>
      <c r="M8" s="13">
        <v>97166</v>
      </c>
      <c r="N8" s="13">
        <v>119889</v>
      </c>
    </row>
    <row r="9" spans="1:14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22.5" customHeight="1" x14ac:dyDescent="0.25">
      <c r="A10" s="4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30.75" customHeight="1" x14ac:dyDescent="0.25">
      <c r="A11" s="42"/>
      <c r="B11" s="10" t="s">
        <v>17</v>
      </c>
      <c r="C11" s="13">
        <f>SUM(C5:C8,C10)</f>
        <v>129026468</v>
      </c>
      <c r="D11" s="13">
        <f t="shared" ref="D11:N11" si="0">SUM(D5:D8,D10)</f>
        <v>183457774</v>
      </c>
      <c r="E11" s="13">
        <f t="shared" si="0"/>
        <v>185395137</v>
      </c>
      <c r="F11" s="13">
        <f t="shared" si="0"/>
        <v>174665748</v>
      </c>
      <c r="G11" s="13">
        <f t="shared" si="0"/>
        <v>163921234</v>
      </c>
      <c r="H11" s="13">
        <f t="shared" si="0"/>
        <v>168180248</v>
      </c>
      <c r="I11" s="13">
        <f t="shared" si="0"/>
        <v>132655091</v>
      </c>
      <c r="J11" s="13">
        <f t="shared" si="0"/>
        <v>162343499</v>
      </c>
      <c r="K11" s="13">
        <f t="shared" si="0"/>
        <v>144000781</v>
      </c>
      <c r="L11" s="13">
        <f t="shared" si="0"/>
        <v>173567646</v>
      </c>
      <c r="M11" s="13">
        <f t="shared" si="0"/>
        <v>160413102</v>
      </c>
      <c r="N11" s="13">
        <f t="shared" si="0"/>
        <v>164290437</v>
      </c>
    </row>
    <row r="12" spans="1:14" ht="22.5" customHeight="1" x14ac:dyDescent="0.25">
      <c r="A12" s="46" t="s">
        <v>17</v>
      </c>
      <c r="B12" s="47"/>
      <c r="C12" s="14">
        <f>C11</f>
        <v>129026468</v>
      </c>
      <c r="D12" s="14">
        <f t="shared" ref="D12:N12" si="1">D11</f>
        <v>183457774</v>
      </c>
      <c r="E12" s="14">
        <f t="shared" si="1"/>
        <v>185395137</v>
      </c>
      <c r="F12" s="14">
        <f t="shared" si="1"/>
        <v>174665748</v>
      </c>
      <c r="G12" s="14">
        <f t="shared" si="1"/>
        <v>163921234</v>
      </c>
      <c r="H12" s="14">
        <f t="shared" si="1"/>
        <v>168180248</v>
      </c>
      <c r="I12" s="14">
        <f t="shared" si="1"/>
        <v>132655091</v>
      </c>
      <c r="J12" s="14">
        <f t="shared" si="1"/>
        <v>162343499</v>
      </c>
      <c r="K12" s="14">
        <f t="shared" si="1"/>
        <v>144000781</v>
      </c>
      <c r="L12" s="14">
        <f t="shared" si="1"/>
        <v>173567646</v>
      </c>
      <c r="M12" s="14">
        <f t="shared" si="1"/>
        <v>160413102</v>
      </c>
      <c r="N12" s="14">
        <f t="shared" si="1"/>
        <v>164290437</v>
      </c>
    </row>
    <row r="15" spans="1:14" ht="22.5" customHeight="1" x14ac:dyDescent="0.25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s="4" customFormat="1" ht="42.75" customHeight="1" x14ac:dyDescent="0.25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22.5" customHeight="1" x14ac:dyDescent="0.25">
      <c r="A5" s="41"/>
      <c r="B5" s="9" t="s">
        <v>19</v>
      </c>
      <c r="C5" s="21">
        <v>1606680</v>
      </c>
      <c r="D5" s="21">
        <v>1694962</v>
      </c>
      <c r="E5" s="21">
        <v>1528609</v>
      </c>
      <c r="F5" s="21">
        <v>1245516</v>
      </c>
      <c r="G5" s="21">
        <v>1247756</v>
      </c>
      <c r="H5" s="21">
        <v>1597568</v>
      </c>
      <c r="I5" s="21">
        <v>1259806</v>
      </c>
      <c r="J5" s="21">
        <v>2020468</v>
      </c>
      <c r="K5" s="21">
        <v>2656943</v>
      </c>
      <c r="L5" s="21">
        <v>3079335</v>
      </c>
      <c r="M5" s="21">
        <v>2504731</v>
      </c>
      <c r="N5" s="22">
        <v>2720223</v>
      </c>
    </row>
    <row r="6" spans="1:14" ht="22.5" customHeight="1" x14ac:dyDescent="0.25">
      <c r="A6" s="41"/>
      <c r="B6" s="9" t="s">
        <v>14</v>
      </c>
      <c r="C6" s="13">
        <v>105632465</v>
      </c>
      <c r="D6" s="13">
        <v>139940380</v>
      </c>
      <c r="E6" s="13">
        <v>157065952</v>
      </c>
      <c r="F6" s="13">
        <v>125358848</v>
      </c>
      <c r="G6" s="13">
        <v>107337772</v>
      </c>
      <c r="H6" s="13">
        <v>118025837</v>
      </c>
      <c r="I6" s="13">
        <v>123821242</v>
      </c>
      <c r="J6" s="13">
        <v>103102780</v>
      </c>
      <c r="K6" s="13">
        <v>144414821</v>
      </c>
      <c r="L6" s="21">
        <v>158185027</v>
      </c>
      <c r="M6" s="13">
        <v>163697084</v>
      </c>
      <c r="N6" s="23">
        <v>157465374</v>
      </c>
    </row>
    <row r="7" spans="1:14" ht="22.5" customHeight="1" x14ac:dyDescent="0.25">
      <c r="A7" s="41"/>
      <c r="B7" s="9" t="s">
        <v>15</v>
      </c>
      <c r="C7" s="13">
        <v>1811672</v>
      </c>
      <c r="D7" s="13">
        <v>1765531</v>
      </c>
      <c r="E7" s="13">
        <v>1642230</v>
      </c>
      <c r="F7" s="13">
        <v>1403495</v>
      </c>
      <c r="G7" s="13">
        <v>785594</v>
      </c>
      <c r="H7" s="13">
        <v>1048846</v>
      </c>
      <c r="I7" s="13">
        <v>785438</v>
      </c>
      <c r="J7" s="13">
        <v>705213</v>
      </c>
      <c r="K7" s="13">
        <v>813020</v>
      </c>
      <c r="L7" s="21">
        <v>1523250</v>
      </c>
      <c r="M7" s="13">
        <v>1765844</v>
      </c>
      <c r="N7" s="23">
        <v>1846186</v>
      </c>
    </row>
    <row r="8" spans="1:14" ht="22.5" customHeight="1" x14ac:dyDescent="0.25">
      <c r="A8" s="41"/>
      <c r="B8" s="9" t="s">
        <v>16</v>
      </c>
      <c r="C8" s="13">
        <v>109810</v>
      </c>
      <c r="D8" s="13">
        <v>110415</v>
      </c>
      <c r="E8" s="13">
        <v>102067</v>
      </c>
      <c r="F8" s="13">
        <v>77879</v>
      </c>
      <c r="G8" s="13">
        <v>58872</v>
      </c>
      <c r="H8" s="13">
        <v>66225</v>
      </c>
      <c r="I8" s="13">
        <v>66442</v>
      </c>
      <c r="J8" s="13">
        <v>63968</v>
      </c>
      <c r="K8" s="13">
        <v>86518</v>
      </c>
      <c r="L8" s="21">
        <v>112892</v>
      </c>
      <c r="M8" s="13">
        <v>97279</v>
      </c>
      <c r="N8" s="23">
        <v>116095</v>
      </c>
    </row>
    <row r="9" spans="1:14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22.5" customHeight="1" x14ac:dyDescent="0.25">
      <c r="A10" s="4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2.5" customHeight="1" x14ac:dyDescent="0.25">
      <c r="A11" s="46" t="s">
        <v>17</v>
      </c>
      <c r="B11" s="47"/>
      <c r="C11" s="14">
        <f>SUM(C5:C8,C10)</f>
        <v>109160627</v>
      </c>
      <c r="D11" s="14">
        <f t="shared" ref="D11:N11" si="0">SUM(D5:D8,D10)</f>
        <v>143511288</v>
      </c>
      <c r="E11" s="14">
        <f t="shared" si="0"/>
        <v>160338858</v>
      </c>
      <c r="F11" s="14">
        <f t="shared" si="0"/>
        <v>128085738</v>
      </c>
      <c r="G11" s="14">
        <f t="shared" si="0"/>
        <v>109429994</v>
      </c>
      <c r="H11" s="14">
        <f t="shared" si="0"/>
        <v>120738476</v>
      </c>
      <c r="I11" s="14">
        <f t="shared" si="0"/>
        <v>125932928</v>
      </c>
      <c r="J11" s="14">
        <f t="shared" si="0"/>
        <v>105892429</v>
      </c>
      <c r="K11" s="14">
        <f t="shared" si="0"/>
        <v>147971302</v>
      </c>
      <c r="L11" s="14">
        <f t="shared" si="0"/>
        <v>162900504</v>
      </c>
      <c r="M11" s="14">
        <f t="shared" si="0"/>
        <v>168064938</v>
      </c>
      <c r="N11" s="14">
        <f t="shared" si="0"/>
        <v>162147878</v>
      </c>
    </row>
    <row r="13" spans="1:14" ht="22.5" customHeight="1" x14ac:dyDescent="0.25">
      <c r="C13" s="20"/>
      <c r="D13" s="19"/>
      <c r="E13" s="18"/>
      <c r="F13" s="18"/>
      <c r="G13" s="18"/>
    </row>
    <row r="14" spans="1:14" ht="22.5" customHeight="1" x14ac:dyDescent="0.25">
      <c r="C14" s="18"/>
      <c r="D14" s="18"/>
      <c r="E14" s="18"/>
      <c r="F14" s="18"/>
      <c r="G14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view="pageBreakPreview" zoomScale="80" zoomScaleNormal="100" zoomScaleSheetLayoutView="80" workbookViewId="0">
      <selection activeCell="N15" sqref="N1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s="4" customFormat="1" ht="42.75" customHeight="1" x14ac:dyDescent="0.2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22.5" customHeight="1" x14ac:dyDescent="0.25">
      <c r="A5" s="41"/>
      <c r="B5" s="9" t="s">
        <v>19</v>
      </c>
      <c r="C5" s="21">
        <v>2490638</v>
      </c>
      <c r="D5" s="21">
        <v>3631769</v>
      </c>
      <c r="E5" s="21">
        <v>4169146</v>
      </c>
      <c r="F5" s="21">
        <v>3651088</v>
      </c>
      <c r="G5" s="21">
        <v>3136209</v>
      </c>
      <c r="H5" s="21">
        <v>3380150</v>
      </c>
      <c r="I5" s="21">
        <v>3615002</v>
      </c>
      <c r="J5" s="21">
        <v>2640649</v>
      </c>
      <c r="K5" s="21">
        <v>3370443</v>
      </c>
      <c r="L5" s="21">
        <v>3748243</v>
      </c>
      <c r="M5" s="21">
        <v>3729575</v>
      </c>
      <c r="N5" s="21">
        <v>3801061</v>
      </c>
    </row>
    <row r="6" spans="1:14" ht="22.5" customHeight="1" x14ac:dyDescent="0.25">
      <c r="A6" s="41"/>
      <c r="B6" s="9" t="s">
        <v>14</v>
      </c>
      <c r="C6" s="13">
        <v>101555240</v>
      </c>
      <c r="D6" s="13">
        <v>133941904</v>
      </c>
      <c r="E6" s="13">
        <v>142092551</v>
      </c>
      <c r="F6" s="13">
        <v>128733556</v>
      </c>
      <c r="G6" s="13">
        <v>125771212</v>
      </c>
      <c r="H6" s="13">
        <v>140153398</v>
      </c>
      <c r="I6" s="13">
        <v>149119937</v>
      </c>
      <c r="J6" s="13">
        <v>126545810</v>
      </c>
      <c r="K6" s="13">
        <v>150379033</v>
      </c>
      <c r="L6" s="13">
        <v>164848409</v>
      </c>
      <c r="M6" s="13">
        <v>172439866</v>
      </c>
      <c r="N6" s="13">
        <v>183848896</v>
      </c>
    </row>
    <row r="7" spans="1:14" ht="22.5" customHeight="1" x14ac:dyDescent="0.25">
      <c r="A7" s="41"/>
      <c r="B7" s="9" t="s">
        <v>15</v>
      </c>
      <c r="C7" s="13">
        <v>1776120</v>
      </c>
      <c r="D7" s="13">
        <v>1820850</v>
      </c>
      <c r="E7" s="13">
        <v>1719842</v>
      </c>
      <c r="F7" s="13">
        <v>1173714</v>
      </c>
      <c r="G7" s="13">
        <v>725564</v>
      </c>
      <c r="H7" s="13">
        <v>804216</v>
      </c>
      <c r="I7" s="13">
        <v>836670</v>
      </c>
      <c r="J7" s="13">
        <v>789909</v>
      </c>
      <c r="K7" s="13">
        <v>894590</v>
      </c>
      <c r="L7" s="13">
        <v>1496926</v>
      </c>
      <c r="M7" s="13">
        <v>1719371</v>
      </c>
      <c r="N7" s="13">
        <v>1854348</v>
      </c>
    </row>
    <row r="8" spans="1:14" ht="22.5" customHeight="1" x14ac:dyDescent="0.25">
      <c r="A8" s="41"/>
      <c r="B8" s="9" t="s">
        <v>16</v>
      </c>
      <c r="C8" s="13">
        <v>145773</v>
      </c>
      <c r="D8" s="13">
        <v>107498</v>
      </c>
      <c r="E8" s="13">
        <v>99177</v>
      </c>
      <c r="F8" s="13">
        <v>77130</v>
      </c>
      <c r="G8" s="13">
        <v>65406</v>
      </c>
      <c r="H8" s="13">
        <v>65002</v>
      </c>
      <c r="I8" s="13">
        <v>67229</v>
      </c>
      <c r="J8" s="13">
        <v>66455</v>
      </c>
      <c r="K8" s="13">
        <v>74429</v>
      </c>
      <c r="L8" s="13">
        <v>71697</v>
      </c>
      <c r="M8" s="13">
        <v>69735</v>
      </c>
      <c r="N8" s="13">
        <v>84059</v>
      </c>
    </row>
    <row r="9" spans="1:14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22.5" customHeight="1" x14ac:dyDescent="0.25">
      <c r="A10" s="4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2.5" customHeight="1" x14ac:dyDescent="0.25">
      <c r="A11" s="46" t="s">
        <v>17</v>
      </c>
      <c r="B11" s="47"/>
      <c r="C11" s="14">
        <f>SUM(C5:C8,C10)</f>
        <v>105967771</v>
      </c>
      <c r="D11" s="14">
        <f t="shared" ref="D11:N11" si="0">SUM(D5:D8,D10)</f>
        <v>139502021</v>
      </c>
      <c r="E11" s="14">
        <f t="shared" si="0"/>
        <v>148080716</v>
      </c>
      <c r="F11" s="14">
        <f t="shared" si="0"/>
        <v>133635488</v>
      </c>
      <c r="G11" s="14">
        <f t="shared" si="0"/>
        <v>129698391</v>
      </c>
      <c r="H11" s="14">
        <f t="shared" si="0"/>
        <v>144402766</v>
      </c>
      <c r="I11" s="14">
        <f t="shared" si="0"/>
        <v>153638838</v>
      </c>
      <c r="J11" s="14">
        <f t="shared" si="0"/>
        <v>130042823</v>
      </c>
      <c r="K11" s="14">
        <f t="shared" si="0"/>
        <v>154718495</v>
      </c>
      <c r="L11" s="14">
        <f t="shared" si="0"/>
        <v>170165275</v>
      </c>
      <c r="M11" s="14">
        <f t="shared" si="0"/>
        <v>177958547</v>
      </c>
      <c r="N11" s="14">
        <f t="shared" si="0"/>
        <v>189588364</v>
      </c>
    </row>
    <row r="13" spans="1:14" ht="22.5" customHeight="1" x14ac:dyDescent="0.25">
      <c r="C13" s="20"/>
      <c r="D13" s="19"/>
      <c r="E13" s="18"/>
      <c r="F13" s="18"/>
      <c r="G13" s="18"/>
    </row>
    <row r="14" spans="1:14" ht="22.5" customHeight="1" x14ac:dyDescent="0.25">
      <c r="C14" s="18"/>
      <c r="D14" s="18"/>
      <c r="E14" s="18"/>
      <c r="F14" s="18"/>
      <c r="G14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view="pageBreakPreview" topLeftCell="B1" zoomScale="85" zoomScaleNormal="100" zoomScaleSheetLayoutView="85" workbookViewId="0">
      <selection activeCell="K22" sqref="K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s="4" customFormat="1" ht="42.75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22.5" customHeight="1" x14ac:dyDescent="0.25">
      <c r="A5" s="41"/>
      <c r="B5" s="9" t="s">
        <v>19</v>
      </c>
      <c r="C5" s="21">
        <v>3031478</v>
      </c>
      <c r="D5" s="21">
        <v>3064810</v>
      </c>
      <c r="E5" s="21">
        <v>4965802</v>
      </c>
      <c r="F5" s="21">
        <v>4122659</v>
      </c>
      <c r="G5" s="21">
        <v>3705917</v>
      </c>
      <c r="H5" s="21">
        <v>3095310</v>
      </c>
      <c r="I5" s="21">
        <v>3926132</v>
      </c>
      <c r="J5" s="21">
        <v>3625234</v>
      </c>
      <c r="K5" s="21">
        <v>3599657</v>
      </c>
      <c r="L5" s="21">
        <v>4255763</v>
      </c>
      <c r="M5" s="21">
        <v>4136642</v>
      </c>
      <c r="N5" s="21">
        <v>4736007</v>
      </c>
    </row>
    <row r="6" spans="1:14" ht="22.5" customHeight="1" x14ac:dyDescent="0.25">
      <c r="A6" s="41"/>
      <c r="B6" s="9" t="s">
        <v>14</v>
      </c>
      <c r="C6" s="13">
        <f>134345031+6265092</f>
        <v>140610123</v>
      </c>
      <c r="D6" s="13">
        <f>151764408+5403824</f>
        <v>157168232</v>
      </c>
      <c r="E6" s="13">
        <v>162389919</v>
      </c>
      <c r="F6" s="13">
        <f>143370969+3973847</f>
        <v>147344816</v>
      </c>
      <c r="G6" s="13">
        <f>136332780+3391311</f>
        <v>139724091</v>
      </c>
      <c r="H6" s="13">
        <f>143981363+2687410</f>
        <v>146668773</v>
      </c>
      <c r="I6" s="13">
        <f>154634763+2369692</f>
        <v>157004455</v>
      </c>
      <c r="J6" s="13">
        <v>136106941</v>
      </c>
      <c r="K6" s="13">
        <f>146132560+2751626</f>
        <v>148884186</v>
      </c>
      <c r="L6" s="13">
        <f>153673611+4538348</f>
        <v>158211959</v>
      </c>
      <c r="M6" s="13">
        <f>153815751+4685035</f>
        <v>158500786</v>
      </c>
      <c r="N6" s="13">
        <f>159789477+6312496</f>
        <v>166101973</v>
      </c>
    </row>
    <row r="7" spans="1:14" ht="22.5" customHeight="1" x14ac:dyDescent="0.25">
      <c r="A7" s="41"/>
      <c r="B7" s="9" t="s">
        <v>15</v>
      </c>
      <c r="C7" s="13">
        <f>1673382+567330</f>
        <v>2240712</v>
      </c>
      <c r="D7" s="13">
        <f>1922478+641582</f>
        <v>2564060</v>
      </c>
      <c r="E7" s="13">
        <v>2112069</v>
      </c>
      <c r="F7" s="13">
        <f>1345071+491359</f>
        <v>1836430</v>
      </c>
      <c r="G7" s="13">
        <f>839311+396999</f>
        <v>1236310</v>
      </c>
      <c r="H7" s="13">
        <f>764486+236330</f>
        <v>1000816</v>
      </c>
      <c r="I7" s="13">
        <f>757386+207396</f>
        <v>964782</v>
      </c>
      <c r="J7" s="13">
        <v>937510</v>
      </c>
      <c r="K7" s="13">
        <f>906414+210341</f>
        <v>1116755</v>
      </c>
      <c r="L7" s="13">
        <f>1341362+354348</f>
        <v>1695710</v>
      </c>
      <c r="M7" s="13">
        <f>1539914+396309</f>
        <v>1936223</v>
      </c>
      <c r="N7" s="13">
        <f>1794784+406785</f>
        <v>2201569</v>
      </c>
    </row>
    <row r="8" spans="1:14" ht="22.5" customHeight="1" x14ac:dyDescent="0.25">
      <c r="A8" s="41"/>
      <c r="B8" s="9" t="s">
        <v>16</v>
      </c>
      <c r="C8" s="13">
        <f>62937+12945</f>
        <v>75882</v>
      </c>
      <c r="D8" s="13">
        <f>69994+11672</f>
        <v>81666</v>
      </c>
      <c r="E8" s="13">
        <v>85720</v>
      </c>
      <c r="F8" s="13">
        <f>61524+17477</f>
        <v>79001</v>
      </c>
      <c r="G8" s="13">
        <f>63656+7949</f>
        <v>71605</v>
      </c>
      <c r="H8" s="13">
        <f>61437+8532</f>
        <v>69969</v>
      </c>
      <c r="I8" s="13">
        <f>58870+14487</f>
        <v>73357</v>
      </c>
      <c r="J8" s="13">
        <v>69334</v>
      </c>
      <c r="K8" s="13">
        <f>68481+10247</f>
        <v>78728</v>
      </c>
      <c r="L8" s="13">
        <f>62698+10562</f>
        <v>73260</v>
      </c>
      <c r="M8" s="13">
        <f>58729+13403</f>
        <v>72132</v>
      </c>
      <c r="N8" s="13">
        <f>69838+10748</f>
        <v>80586</v>
      </c>
    </row>
    <row r="9" spans="1:14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22.5" customHeight="1" x14ac:dyDescent="0.25">
      <c r="A10" s="4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2.5" customHeight="1" x14ac:dyDescent="0.25">
      <c r="A11" s="46" t="s">
        <v>17</v>
      </c>
      <c r="B11" s="47"/>
      <c r="C11" s="14">
        <f>SUM(C5:C8,C10)</f>
        <v>145958195</v>
      </c>
      <c r="D11" s="14">
        <f t="shared" ref="D11:N11" si="0">SUM(D5:D8,D10)</f>
        <v>162878768</v>
      </c>
      <c r="E11" s="14">
        <f t="shared" si="0"/>
        <v>169553510</v>
      </c>
      <c r="F11" s="14">
        <f t="shared" si="0"/>
        <v>153382906</v>
      </c>
      <c r="G11" s="14">
        <f t="shared" ref="G11" si="1">SUM(G5:G8,G10)</f>
        <v>144737923</v>
      </c>
      <c r="H11" s="14">
        <f t="shared" si="0"/>
        <v>150834868</v>
      </c>
      <c r="I11" s="14">
        <f t="shared" ref="I11:J11" si="2">SUM(I5:I8,I10)</f>
        <v>161968726</v>
      </c>
      <c r="J11" s="14">
        <f t="shared" si="2"/>
        <v>140739019</v>
      </c>
      <c r="K11" s="14">
        <f t="shared" si="0"/>
        <v>153679326</v>
      </c>
      <c r="L11" s="14">
        <f t="shared" si="0"/>
        <v>164236692</v>
      </c>
      <c r="M11" s="14">
        <f t="shared" si="0"/>
        <v>164645783</v>
      </c>
      <c r="N11" s="14">
        <f t="shared" si="0"/>
        <v>173120135</v>
      </c>
    </row>
    <row r="13" spans="1:14" ht="22.5" customHeight="1" x14ac:dyDescent="0.25">
      <c r="C13" s="20"/>
      <c r="D13" s="19"/>
      <c r="E13" s="18"/>
      <c r="F13" s="18"/>
      <c r="G13" s="18"/>
    </row>
    <row r="14" spans="1:14" ht="22.5" customHeight="1" x14ac:dyDescent="0.25">
      <c r="C14" s="18"/>
      <c r="D14" s="18"/>
      <c r="E14" s="18"/>
      <c r="F14" s="18"/>
      <c r="G14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zoomScaleNormal="100" zoomScaleSheetLayoutView="70" workbookViewId="0">
      <selection activeCell="Q10" sqref="Q10:Q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0.5703125" style="1" bestFit="1" customWidth="1"/>
    <col min="16" max="16" width="9.140625" style="1"/>
    <col min="17" max="17" width="14" style="1" customWidth="1"/>
    <col min="18" max="18" width="11.7109375" style="1" bestFit="1" customWidth="1"/>
    <col min="19" max="16384" width="9.140625" style="1"/>
  </cols>
  <sheetData>
    <row r="2" spans="1:18" s="4" customFormat="1" ht="42.75" customHeight="1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8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8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8" ht="22.5" customHeight="1" x14ac:dyDescent="0.25">
      <c r="A5" s="41"/>
      <c r="B5" s="9" t="s">
        <v>19</v>
      </c>
      <c r="C5" s="21">
        <v>4104757</v>
      </c>
      <c r="D5" s="21">
        <v>3666789</v>
      </c>
      <c r="E5" s="21">
        <v>2838348</v>
      </c>
      <c r="F5" s="21">
        <v>2500442</v>
      </c>
      <c r="G5" s="21">
        <v>2214419</v>
      </c>
      <c r="H5" s="21">
        <v>1684132</v>
      </c>
      <c r="I5" s="21">
        <v>1517093</v>
      </c>
      <c r="J5" s="21">
        <v>41408</v>
      </c>
      <c r="K5" s="21">
        <v>79020</v>
      </c>
      <c r="L5" s="21">
        <v>130648</v>
      </c>
      <c r="M5" s="21">
        <v>131297</v>
      </c>
      <c r="N5" s="21">
        <v>150864</v>
      </c>
      <c r="P5" s="4"/>
      <c r="Q5" s="24"/>
      <c r="R5" s="15"/>
    </row>
    <row r="6" spans="1:18" ht="22.5" customHeight="1" x14ac:dyDescent="0.25">
      <c r="A6" s="41"/>
      <c r="B6" s="9" t="s">
        <v>14</v>
      </c>
      <c r="C6" s="13">
        <f>130110645+6781856</f>
        <v>136892501</v>
      </c>
      <c r="D6" s="13">
        <f>148322273+6206382</f>
        <v>154528655</v>
      </c>
      <c r="E6" s="13">
        <v>171225998</v>
      </c>
      <c r="F6" s="13">
        <v>153747072</v>
      </c>
      <c r="G6" s="13">
        <f>144870436+3133653</f>
        <v>148004089</v>
      </c>
      <c r="H6" s="13">
        <v>147914052</v>
      </c>
      <c r="I6" s="13">
        <f>156627162+1106338+2137481</f>
        <v>159870981</v>
      </c>
      <c r="J6" s="13">
        <f>131650963+2745393</f>
        <v>134396356</v>
      </c>
      <c r="K6" s="13">
        <v>145358695</v>
      </c>
      <c r="L6" s="13">
        <v>157225617</v>
      </c>
      <c r="M6" s="13">
        <v>156434170</v>
      </c>
      <c r="N6" s="13">
        <v>159782952</v>
      </c>
      <c r="P6" s="4"/>
      <c r="Q6" s="4"/>
    </row>
    <row r="7" spans="1:18" ht="22.5" customHeight="1" x14ac:dyDescent="0.25">
      <c r="A7" s="41"/>
      <c r="B7" s="9" t="s">
        <v>15</v>
      </c>
      <c r="C7" s="13">
        <f>1773546+483068</f>
        <v>2256614</v>
      </c>
      <c r="D7" s="13">
        <f>1744733+474551</f>
        <v>2219284</v>
      </c>
      <c r="E7" s="13">
        <v>2124749</v>
      </c>
      <c r="F7" s="13">
        <v>1596353</v>
      </c>
      <c r="G7" s="13">
        <f>863123+188258</f>
        <v>1051381</v>
      </c>
      <c r="H7" s="13">
        <v>1003481</v>
      </c>
      <c r="I7" s="13">
        <f>799893+224608+4876</f>
        <v>1029377</v>
      </c>
      <c r="J7" s="13">
        <f>805263+196438</f>
        <v>1001701</v>
      </c>
      <c r="K7" s="13">
        <v>1023263</v>
      </c>
      <c r="L7" s="13">
        <v>1488920</v>
      </c>
      <c r="M7" s="13">
        <v>1835755</v>
      </c>
      <c r="N7" s="13">
        <v>2133097</v>
      </c>
      <c r="P7" s="4"/>
      <c r="Q7" s="4"/>
    </row>
    <row r="8" spans="1:18" ht="22.5" customHeight="1" x14ac:dyDescent="0.25">
      <c r="A8" s="41"/>
      <c r="B8" s="9" t="s">
        <v>16</v>
      </c>
      <c r="C8" s="13">
        <f>85619+15837</f>
        <v>101456</v>
      </c>
      <c r="D8" s="13">
        <f>85694+15269</f>
        <v>100963</v>
      </c>
      <c r="E8" s="13">
        <v>101055</v>
      </c>
      <c r="F8" s="13">
        <v>89869</v>
      </c>
      <c r="G8" s="13">
        <f>67233+14733</f>
        <v>81966</v>
      </c>
      <c r="H8" s="13">
        <v>73833</v>
      </c>
      <c r="I8" s="13">
        <f>67520+7934</f>
        <v>75454</v>
      </c>
      <c r="J8" s="13">
        <f>76387+8770</f>
        <v>85157</v>
      </c>
      <c r="K8" s="13">
        <v>77294</v>
      </c>
      <c r="L8" s="13">
        <v>95440</v>
      </c>
      <c r="M8" s="13">
        <v>79485</v>
      </c>
      <c r="N8" s="13">
        <v>90660</v>
      </c>
      <c r="P8" s="4"/>
      <c r="Q8" s="4"/>
    </row>
    <row r="9" spans="1:18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P9" s="4"/>
      <c r="Q9" s="24"/>
      <c r="R9" s="15"/>
    </row>
    <row r="10" spans="1:18" ht="22.5" customHeight="1" x14ac:dyDescent="0.25">
      <c r="A10" s="4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3">
        <v>4620</v>
      </c>
      <c r="P10" s="4"/>
      <c r="Q10" s="4"/>
    </row>
    <row r="11" spans="1:18" ht="22.5" customHeight="1" x14ac:dyDescent="0.25">
      <c r="A11" s="46" t="s">
        <v>17</v>
      </c>
      <c r="B11" s="47"/>
      <c r="C11" s="14">
        <f>SUM(C5:C8,C10)</f>
        <v>143355328</v>
      </c>
      <c r="D11" s="14">
        <f t="shared" ref="D11:N11" si="0">SUM(D5:D8,D10)</f>
        <v>160515691</v>
      </c>
      <c r="E11" s="14">
        <f>SUM(E5:E8,E10)</f>
        <v>176290150</v>
      </c>
      <c r="F11" s="14">
        <f t="shared" si="0"/>
        <v>157933736</v>
      </c>
      <c r="G11" s="14">
        <f t="shared" si="0"/>
        <v>151351855</v>
      </c>
      <c r="H11" s="14">
        <f t="shared" si="0"/>
        <v>150675498</v>
      </c>
      <c r="I11" s="14">
        <f t="shared" si="0"/>
        <v>162492905</v>
      </c>
      <c r="J11" s="14">
        <f t="shared" si="0"/>
        <v>135524622</v>
      </c>
      <c r="K11" s="14">
        <f t="shared" si="0"/>
        <v>146538272</v>
      </c>
      <c r="L11" s="14">
        <f t="shared" si="0"/>
        <v>158940625</v>
      </c>
      <c r="M11" s="14">
        <f t="shared" si="0"/>
        <v>158480707</v>
      </c>
      <c r="N11" s="14">
        <f t="shared" si="0"/>
        <v>162162193</v>
      </c>
      <c r="P11" s="4"/>
      <c r="Q11" s="24"/>
      <c r="R11" s="15"/>
    </row>
    <row r="12" spans="1:18" ht="22.5" customHeight="1" x14ac:dyDescent="0.25">
      <c r="P12" s="4"/>
      <c r="Q12" s="4"/>
    </row>
    <row r="13" spans="1:18" ht="22.5" customHeight="1" x14ac:dyDescent="0.25">
      <c r="C13" s="20"/>
      <c r="D13" s="19"/>
      <c r="E13" s="18"/>
      <c r="F13" s="18"/>
      <c r="G13" s="18"/>
    </row>
    <row r="14" spans="1:18" ht="22.5" customHeight="1" x14ac:dyDescent="0.25">
      <c r="C14" s="18"/>
      <c r="D14" s="18"/>
      <c r="E14" s="18"/>
      <c r="F14" s="18"/>
      <c r="G14" s="18"/>
    </row>
    <row r="18" spans="3:9" ht="22.5" customHeight="1" x14ac:dyDescent="0.25">
      <c r="C18" s="4"/>
      <c r="D18" s="15"/>
    </row>
    <row r="19" spans="3:9" ht="22.5" customHeight="1" x14ac:dyDescent="0.25">
      <c r="C19" s="4"/>
      <c r="I19" s="15"/>
    </row>
    <row r="20" spans="3:9" ht="22.5" customHeight="1" x14ac:dyDescent="0.25">
      <c r="C20" s="4"/>
      <c r="H20" s="15"/>
    </row>
    <row r="21" spans="3:9" ht="22.5" customHeight="1" x14ac:dyDescent="0.25">
      <c r="C21" s="4"/>
    </row>
    <row r="22" spans="3:9" ht="22.5" customHeight="1" x14ac:dyDescent="0.25">
      <c r="I22" s="15"/>
    </row>
    <row r="25" spans="3:9" ht="22.5" customHeight="1" x14ac:dyDescent="0.25">
      <c r="I25" s="15"/>
    </row>
    <row r="30" spans="3:9" ht="22.5" customHeight="1" x14ac:dyDescent="0.25">
      <c r="I30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zoomScale="60" zoomScaleNormal="60" zoomScaleSheetLayoutView="70" workbookViewId="0">
      <selection activeCell="Q10" sqref="Q10:Q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140625" style="1" customWidth="1"/>
    <col min="15" max="15" width="10.5703125" style="30" bestFit="1" customWidth="1"/>
    <col min="16" max="16" width="9.140625" style="1"/>
    <col min="17" max="17" width="14" style="30" customWidth="1"/>
    <col min="18" max="18" width="11.7109375" style="1" bestFit="1" customWidth="1"/>
    <col min="19" max="16384" width="9.140625" style="1"/>
  </cols>
  <sheetData>
    <row r="2" spans="1:18" s="4" customFormat="1" ht="42.75" customHeight="1" x14ac:dyDescent="0.2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0"/>
      <c r="Q2" s="30"/>
    </row>
    <row r="3" spans="1:18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31"/>
      <c r="Q3" s="31"/>
    </row>
    <row r="4" spans="1:18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8" ht="22.5" customHeight="1" x14ac:dyDescent="0.25">
      <c r="A5" s="41"/>
      <c r="B5" s="9" t="s">
        <v>19</v>
      </c>
      <c r="C5" s="21">
        <v>132905</v>
      </c>
      <c r="D5" s="21">
        <v>129883</v>
      </c>
      <c r="E5" s="21">
        <v>139109</v>
      </c>
      <c r="F5" s="21">
        <v>97978</v>
      </c>
      <c r="G5" s="21">
        <v>66336</v>
      </c>
      <c r="H5" s="21">
        <v>75648</v>
      </c>
      <c r="I5" s="21">
        <v>70624</v>
      </c>
      <c r="J5" s="21">
        <v>35350</v>
      </c>
      <c r="K5" s="21">
        <v>41966</v>
      </c>
      <c r="L5" s="21">
        <v>119068</v>
      </c>
      <c r="M5" s="21">
        <v>498856</v>
      </c>
      <c r="N5" s="21">
        <v>538550</v>
      </c>
      <c r="O5" s="30">
        <f>N5/M5</f>
        <v>1.0795700562887887</v>
      </c>
      <c r="P5" s="4"/>
      <c r="Q5" s="29">
        <f>AVERAGE(C5:N5)</f>
        <v>162189.41666666666</v>
      </c>
      <c r="R5" s="15"/>
    </row>
    <row r="6" spans="1:18" ht="22.5" customHeight="1" x14ac:dyDescent="0.25">
      <c r="A6" s="41"/>
      <c r="B6" s="9" t="s">
        <v>14</v>
      </c>
      <c r="C6" s="13">
        <v>121749001</v>
      </c>
      <c r="D6" s="13">
        <v>144789522</v>
      </c>
      <c r="E6" s="13">
        <v>153348211</v>
      </c>
      <c r="F6" s="13">
        <v>143510050</v>
      </c>
      <c r="G6" s="13">
        <v>134845957</v>
      </c>
      <c r="H6" s="13">
        <v>128520143</v>
      </c>
      <c r="I6" s="13">
        <v>108731323</v>
      </c>
      <c r="J6" s="21">
        <f>132987174+3463488</f>
        <v>136450662</v>
      </c>
      <c r="K6" s="13">
        <v>136892486</v>
      </c>
      <c r="L6" s="13">
        <v>150332558</v>
      </c>
      <c r="M6" s="13">
        <v>167326009</v>
      </c>
      <c r="N6" s="13">
        <v>150682742</v>
      </c>
      <c r="O6" s="30">
        <f t="shared" ref="O6:O8" si="0">N6/M6</f>
        <v>0.90053389129719819</v>
      </c>
      <c r="P6" s="4"/>
      <c r="Q6" s="29">
        <f t="shared" ref="Q6:Q10" si="1">AVERAGE(C6:N6)</f>
        <v>139764888.66666666</v>
      </c>
    </row>
    <row r="7" spans="1:18" ht="22.5" customHeight="1" x14ac:dyDescent="0.25">
      <c r="A7" s="41"/>
      <c r="B7" s="9" t="s">
        <v>15</v>
      </c>
      <c r="C7" s="13">
        <v>989263</v>
      </c>
      <c r="D7" s="13">
        <v>931966</v>
      </c>
      <c r="E7" s="13">
        <v>765295</v>
      </c>
      <c r="F7" s="13">
        <v>683490</v>
      </c>
      <c r="G7" s="13">
        <v>458588</v>
      </c>
      <c r="H7" s="13">
        <v>400292</v>
      </c>
      <c r="I7" s="13">
        <v>434573</v>
      </c>
      <c r="J7" s="13">
        <f>241931+177713</f>
        <v>419644</v>
      </c>
      <c r="K7" s="13">
        <v>614940</v>
      </c>
      <c r="L7" s="13">
        <v>1010669</v>
      </c>
      <c r="M7" s="13">
        <v>1271022</v>
      </c>
      <c r="N7" s="13">
        <v>1376500</v>
      </c>
      <c r="O7" s="30">
        <f t="shared" si="0"/>
        <v>1.0829867618341775</v>
      </c>
      <c r="P7" s="4"/>
      <c r="Q7" s="29">
        <f t="shared" si="1"/>
        <v>779686.83333333337</v>
      </c>
    </row>
    <row r="8" spans="1:18" ht="22.5" customHeight="1" x14ac:dyDescent="0.25">
      <c r="A8" s="41"/>
      <c r="B8" s="9" t="s">
        <v>16</v>
      </c>
      <c r="C8" s="13">
        <v>104400</v>
      </c>
      <c r="D8" s="13">
        <v>103254</v>
      </c>
      <c r="E8" s="13">
        <v>104369</v>
      </c>
      <c r="F8" s="13">
        <v>102052</v>
      </c>
      <c r="G8" s="13">
        <v>92027</v>
      </c>
      <c r="H8" s="13">
        <v>69634</v>
      </c>
      <c r="I8" s="13">
        <v>83861</v>
      </c>
      <c r="J8" s="13">
        <f>91302+63</f>
        <v>91365</v>
      </c>
      <c r="K8" s="13">
        <v>84736</v>
      </c>
      <c r="L8" s="13">
        <v>81019</v>
      </c>
      <c r="M8" s="13">
        <v>81589</v>
      </c>
      <c r="N8" s="13">
        <v>71454</v>
      </c>
      <c r="O8" s="30">
        <f t="shared" si="0"/>
        <v>0.87577982326048853</v>
      </c>
      <c r="P8" s="4"/>
      <c r="Q8" s="29">
        <f t="shared" si="1"/>
        <v>89146.666666666672</v>
      </c>
    </row>
    <row r="9" spans="1:18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P9" s="4"/>
      <c r="Q9" s="29"/>
      <c r="R9" s="15"/>
    </row>
    <row r="10" spans="1:18" ht="22.5" customHeight="1" x14ac:dyDescent="0.25">
      <c r="A10" s="41"/>
      <c r="B10" s="3"/>
      <c r="C10" s="13">
        <v>554</v>
      </c>
      <c r="D10" s="13">
        <v>550</v>
      </c>
      <c r="E10" s="13">
        <v>557</v>
      </c>
      <c r="F10" s="13">
        <v>550</v>
      </c>
      <c r="G10" s="13">
        <v>480</v>
      </c>
      <c r="H10" s="13">
        <v>542</v>
      </c>
      <c r="I10" s="13">
        <v>500</v>
      </c>
      <c r="J10" s="13">
        <v>500</v>
      </c>
      <c r="K10" s="13">
        <v>510</v>
      </c>
      <c r="L10" s="13">
        <v>390</v>
      </c>
      <c r="M10" s="13">
        <v>380</v>
      </c>
      <c r="N10" s="13">
        <v>2365</v>
      </c>
      <c r="O10" s="30">
        <f>N10/M10</f>
        <v>6.2236842105263159</v>
      </c>
      <c r="P10" s="4"/>
      <c r="Q10" s="29">
        <f t="shared" si="1"/>
        <v>656.5</v>
      </c>
    </row>
    <row r="11" spans="1:18" ht="22.5" customHeight="1" x14ac:dyDescent="0.25">
      <c r="A11" s="46" t="s">
        <v>17</v>
      </c>
      <c r="B11" s="47"/>
      <c r="C11" s="14">
        <f>SUM(C5:C8,C10)</f>
        <v>122976123</v>
      </c>
      <c r="D11" s="14">
        <f t="shared" ref="D11:N11" si="2">SUM(D5:D8,D10)</f>
        <v>145955175</v>
      </c>
      <c r="E11" s="14">
        <f>SUM(E5:E8,E10)</f>
        <v>154357541</v>
      </c>
      <c r="F11" s="14">
        <f t="shared" si="2"/>
        <v>144394120</v>
      </c>
      <c r="G11" s="14">
        <f t="shared" si="2"/>
        <v>135463388</v>
      </c>
      <c r="H11" s="14">
        <f t="shared" si="2"/>
        <v>129066259</v>
      </c>
      <c r="I11" s="14">
        <f>SUM(I5:I8,I10)</f>
        <v>109320881</v>
      </c>
      <c r="J11" s="14">
        <f t="shared" si="2"/>
        <v>136997521</v>
      </c>
      <c r="K11" s="14">
        <f t="shared" si="2"/>
        <v>137634638</v>
      </c>
      <c r="L11" s="14">
        <f t="shared" si="2"/>
        <v>151543704</v>
      </c>
      <c r="M11" s="14">
        <f t="shared" si="2"/>
        <v>169177856</v>
      </c>
      <c r="N11" s="14">
        <f t="shared" si="2"/>
        <v>152671611</v>
      </c>
      <c r="P11" s="4"/>
      <c r="Q11" s="29"/>
      <c r="R11" s="15"/>
    </row>
    <row r="12" spans="1:18" ht="22.5" customHeight="1" x14ac:dyDescent="0.25">
      <c r="P12" s="4"/>
    </row>
    <row r="13" spans="1:18" ht="22.5" customHeight="1" x14ac:dyDescent="0.25">
      <c r="C13" s="20"/>
      <c r="D13" s="19"/>
      <c r="E13" s="18"/>
      <c r="F13" s="18"/>
      <c r="G13" s="18"/>
      <c r="H13" s="15"/>
      <c r="J13" s="15"/>
    </row>
    <row r="14" spans="1:18" ht="22.5" customHeight="1" x14ac:dyDescent="0.25">
      <c r="C14" s="18"/>
      <c r="D14" s="18"/>
      <c r="E14" s="18"/>
      <c r="F14" s="25"/>
      <c r="G14" s="18"/>
      <c r="J14" s="15"/>
      <c r="L14" s="15"/>
      <c r="N14" s="15"/>
    </row>
    <row r="15" spans="1:18" ht="22.5" customHeight="1" x14ac:dyDescent="0.25">
      <c r="D15" s="15"/>
      <c r="J15" s="15"/>
      <c r="N15" s="15"/>
    </row>
    <row r="16" spans="1:18" ht="22.5" customHeight="1" x14ac:dyDescent="0.25">
      <c r="D16" s="15"/>
      <c r="F16" s="15"/>
      <c r="H16" s="15"/>
      <c r="N16" s="15"/>
    </row>
    <row r="17" spans="3:14" ht="22.5" customHeight="1" x14ac:dyDescent="0.25">
      <c r="H17" s="15"/>
      <c r="I17" s="15"/>
      <c r="N17" s="15"/>
    </row>
    <row r="18" spans="3:14" ht="22.5" customHeight="1" x14ac:dyDescent="0.25">
      <c r="C18" s="4"/>
      <c r="D18" s="15"/>
      <c r="F18" s="15"/>
      <c r="H18" s="15"/>
      <c r="L18" s="15"/>
    </row>
    <row r="19" spans="3:14" ht="22.5" customHeight="1" x14ac:dyDescent="0.25">
      <c r="C19" s="4"/>
      <c r="I19" s="15"/>
      <c r="L19" s="15"/>
    </row>
    <row r="20" spans="3:14" ht="22.5" customHeight="1" x14ac:dyDescent="0.25">
      <c r="C20" s="4"/>
      <c r="H20" s="15"/>
    </row>
    <row r="21" spans="3:14" ht="22.5" customHeight="1" x14ac:dyDescent="0.25">
      <c r="C21" s="4"/>
    </row>
    <row r="22" spans="3:14" ht="22.5" customHeight="1" x14ac:dyDescent="0.25">
      <c r="I22" s="15"/>
    </row>
    <row r="25" spans="3:14" ht="22.5" customHeight="1" x14ac:dyDescent="0.25">
      <c r="I25" s="15"/>
    </row>
    <row r="30" spans="3:14" ht="22.5" customHeight="1" x14ac:dyDescent="0.25">
      <c r="I30" s="15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scale="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zoomScale="75" zoomScaleNormal="75" zoomScaleSheetLayoutView="70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140625" style="1" customWidth="1"/>
    <col min="7" max="7" width="20.140625" style="1" hidden="1" customWidth="1"/>
    <col min="8" max="8" width="20.140625" style="1" customWidth="1"/>
    <col min="9" max="9" width="20.140625" style="1" hidden="1" customWidth="1"/>
    <col min="10" max="10" width="20.140625" style="1" customWidth="1"/>
    <col min="11" max="11" width="20.140625" style="1" hidden="1" customWidth="1"/>
    <col min="12" max="12" width="20.140625" style="1" customWidth="1"/>
    <col min="13" max="13" width="20.140625" style="1" hidden="1" customWidth="1"/>
    <col min="14" max="14" width="20.140625" style="1" customWidth="1"/>
    <col min="15" max="15" width="20.140625" style="1" hidden="1" customWidth="1"/>
    <col min="16" max="16" width="20.140625" style="1" customWidth="1"/>
    <col min="17" max="17" width="20.140625" style="1" hidden="1" customWidth="1"/>
    <col min="18" max="18" width="20.140625" style="1" customWidth="1"/>
    <col min="19" max="19" width="20.140625" style="1" hidden="1" customWidth="1"/>
    <col min="20" max="20" width="20.140625" style="1" customWidth="1"/>
    <col min="21" max="21" width="20.140625" style="1" hidden="1" customWidth="1"/>
    <col min="22" max="22" width="20.140625" style="1" customWidth="1"/>
    <col min="23" max="23" width="10.5703125" style="30" bestFit="1" customWidth="1"/>
    <col min="24" max="24" width="9.140625" style="1"/>
    <col min="25" max="25" width="14" style="1" customWidth="1"/>
    <col min="26" max="26" width="11.7109375" style="1" bestFit="1" customWidth="1"/>
    <col min="27" max="16384" width="9.140625" style="1"/>
  </cols>
  <sheetData>
    <row r="2" spans="1:26" s="4" customFormat="1" ht="42.75" customHeight="1" x14ac:dyDescent="0.25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0"/>
    </row>
    <row r="3" spans="1:26" s="8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/>
      <c r="H3" s="7" t="s">
        <v>6</v>
      </c>
      <c r="I3" s="7"/>
      <c r="J3" s="7" t="s">
        <v>7</v>
      </c>
      <c r="K3" s="7"/>
      <c r="L3" s="7" t="s">
        <v>8</v>
      </c>
      <c r="M3" s="7"/>
      <c r="N3" s="7" t="s">
        <v>9</v>
      </c>
      <c r="O3" s="7"/>
      <c r="P3" s="7" t="s">
        <v>10</v>
      </c>
      <c r="Q3" s="7"/>
      <c r="R3" s="7" t="s">
        <v>11</v>
      </c>
      <c r="S3" s="7"/>
      <c r="T3" s="7" t="s">
        <v>12</v>
      </c>
      <c r="U3" s="7"/>
      <c r="V3" s="7" t="s">
        <v>13</v>
      </c>
      <c r="W3" s="31"/>
    </row>
    <row r="4" spans="1:26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</row>
    <row r="5" spans="1:26" ht="22.5" customHeight="1" x14ac:dyDescent="0.25">
      <c r="A5" s="41"/>
      <c r="B5" s="9" t="s">
        <v>19</v>
      </c>
      <c r="C5" s="21">
        <v>496818</v>
      </c>
      <c r="D5" s="21">
        <v>483504</v>
      </c>
      <c r="E5" s="21">
        <v>514685</v>
      </c>
      <c r="F5" s="21">
        <v>553015</v>
      </c>
      <c r="G5" s="13">
        <v>0.67704994998877299</v>
      </c>
      <c r="H5" s="21">
        <v>40447</v>
      </c>
      <c r="I5" s="13">
        <v>1.1403762662807526</v>
      </c>
      <c r="J5" s="21">
        <v>42025</v>
      </c>
      <c r="K5" s="13">
        <v>0.93358714043993229</v>
      </c>
      <c r="L5" s="21">
        <v>31351</v>
      </c>
      <c r="M5" s="13">
        <v>0.5005380607159039</v>
      </c>
      <c r="N5" s="21">
        <v>23865</v>
      </c>
      <c r="O5" s="13">
        <v>1.1871570014144273</v>
      </c>
      <c r="P5" s="21">
        <v>46513</v>
      </c>
      <c r="Q5" s="13">
        <v>2.8372492017347377</v>
      </c>
      <c r="R5" s="21">
        <v>190572</v>
      </c>
      <c r="S5" s="13">
        <v>4.1896731279604928</v>
      </c>
      <c r="T5" s="21">
        <v>496794</v>
      </c>
      <c r="U5" s="13">
        <v>1.0795700562887887</v>
      </c>
      <c r="V5" s="21">
        <v>215947</v>
      </c>
      <c r="W5" s="30">
        <f>'2021'!C5/'2020'!V5</f>
        <v>0.29358592617633028</v>
      </c>
      <c r="X5" s="4"/>
      <c r="Y5" s="24"/>
      <c r="Z5" s="15"/>
    </row>
    <row r="6" spans="1:26" ht="22.5" customHeight="1" x14ac:dyDescent="0.25">
      <c r="A6" s="41"/>
      <c r="B6" s="9" t="s">
        <v>14</v>
      </c>
      <c r="C6" s="13">
        <v>119115408</v>
      </c>
      <c r="D6" s="13">
        <v>155042905</v>
      </c>
      <c r="E6" s="13">
        <v>139599903</v>
      </c>
      <c r="F6" s="13">
        <v>127631278</v>
      </c>
      <c r="G6" s="13">
        <v>0.93962727349060227</v>
      </c>
      <c r="H6" s="21">
        <v>115392962</v>
      </c>
      <c r="I6" s="13">
        <v>0.95308858981956723</v>
      </c>
      <c r="J6" s="13">
        <v>124042112</v>
      </c>
      <c r="K6" s="13">
        <v>0.84602553702418459</v>
      </c>
      <c r="L6" s="21">
        <v>132119753</v>
      </c>
      <c r="M6" s="13">
        <v>1.2549342566171111</v>
      </c>
      <c r="N6" s="21">
        <v>109151779</v>
      </c>
      <c r="O6" s="13">
        <v>1.0032379762290931</v>
      </c>
      <c r="P6" s="13">
        <v>130097041</v>
      </c>
      <c r="Q6" s="13">
        <v>1.0981797642275266</v>
      </c>
      <c r="R6" s="13">
        <v>136248193</v>
      </c>
      <c r="S6" s="13">
        <v>1.1130390597092081</v>
      </c>
      <c r="T6" s="13">
        <v>135605624</v>
      </c>
      <c r="U6" s="13">
        <v>0.90053389129719819</v>
      </c>
      <c r="V6" s="13">
        <v>154690536</v>
      </c>
      <c r="W6" s="30">
        <f>'2021'!C6/'2020'!V6</f>
        <v>0.79862354992421769</v>
      </c>
      <c r="X6" s="4"/>
      <c r="Y6" s="4"/>
    </row>
    <row r="7" spans="1:26" ht="22.5" customHeight="1" x14ac:dyDescent="0.25">
      <c r="A7" s="41"/>
      <c r="B7" s="9" t="s">
        <v>15</v>
      </c>
      <c r="C7" s="13">
        <v>1019855</v>
      </c>
      <c r="D7" s="13">
        <v>929100</v>
      </c>
      <c r="E7" s="13">
        <v>872256</v>
      </c>
      <c r="F7" s="13">
        <v>774029</v>
      </c>
      <c r="G7" s="13">
        <v>0.67095056255395102</v>
      </c>
      <c r="H7" s="13">
        <v>739925</v>
      </c>
      <c r="I7" s="13">
        <v>0.87287936012281175</v>
      </c>
      <c r="J7" s="13">
        <v>714142</v>
      </c>
      <c r="K7" s="13">
        <v>1.0856399828125469</v>
      </c>
      <c r="L7" s="21">
        <v>734225</v>
      </c>
      <c r="M7" s="13">
        <v>0.96564673829253078</v>
      </c>
      <c r="N7" s="13">
        <v>248233</v>
      </c>
      <c r="O7" s="13">
        <v>1.4653849453346171</v>
      </c>
      <c r="P7" s="13">
        <v>215496</v>
      </c>
      <c r="Q7" s="13">
        <v>1.6435245715029108</v>
      </c>
      <c r="R7" s="13">
        <v>333299</v>
      </c>
      <c r="S7" s="13">
        <v>1.2576046163481813</v>
      </c>
      <c r="T7" s="13">
        <v>438763</v>
      </c>
      <c r="U7" s="13">
        <v>1.0829867618341775</v>
      </c>
      <c r="V7" s="13">
        <v>549822</v>
      </c>
      <c r="W7" s="30">
        <f>'2021'!C7/'2020'!V7</f>
        <v>0.96882445591482336</v>
      </c>
      <c r="X7" s="4"/>
      <c r="Y7" s="4"/>
    </row>
    <row r="8" spans="1:26" ht="22.5" customHeight="1" x14ac:dyDescent="0.25">
      <c r="A8" s="41"/>
      <c r="B8" s="9" t="s">
        <v>16</v>
      </c>
      <c r="C8" s="13">
        <v>77484</v>
      </c>
      <c r="D8" s="13">
        <v>72064</v>
      </c>
      <c r="E8" s="13">
        <v>71322</v>
      </c>
      <c r="F8" s="13">
        <v>75822</v>
      </c>
      <c r="G8" s="13">
        <v>0.90176576647199469</v>
      </c>
      <c r="H8" s="21">
        <v>68222</v>
      </c>
      <c r="I8" s="13">
        <v>0.75666923837569411</v>
      </c>
      <c r="J8" s="13">
        <v>69351</v>
      </c>
      <c r="K8" s="13">
        <v>1.2043111123876267</v>
      </c>
      <c r="L8" s="21">
        <v>80888</v>
      </c>
      <c r="M8" s="13">
        <v>1.0894814037514458</v>
      </c>
      <c r="N8" s="13">
        <v>79733</v>
      </c>
      <c r="O8" s="13">
        <v>0.92744486400700488</v>
      </c>
      <c r="P8" s="13">
        <v>83473</v>
      </c>
      <c r="Q8" s="13">
        <v>0.95613434667673713</v>
      </c>
      <c r="R8" s="13">
        <v>85988</v>
      </c>
      <c r="S8" s="13">
        <v>1.0070353867611301</v>
      </c>
      <c r="T8" s="13">
        <v>75101</v>
      </c>
      <c r="U8" s="13">
        <v>0.87577982326048853</v>
      </c>
      <c r="V8" s="13">
        <v>117249</v>
      </c>
      <c r="W8" s="30">
        <f>'2021'!C8/'2020'!V8</f>
        <v>0.99316838523143058</v>
      </c>
      <c r="X8" s="4"/>
      <c r="Y8" s="4"/>
    </row>
    <row r="9" spans="1:26" ht="22.5" customHeight="1" x14ac:dyDescent="0.25">
      <c r="A9" s="41"/>
      <c r="B9" s="43" t="s">
        <v>23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  <c r="X9" s="4"/>
      <c r="Y9" s="24"/>
      <c r="Z9" s="15"/>
    </row>
    <row r="10" spans="1:26" ht="22.5" customHeight="1" x14ac:dyDescent="0.25">
      <c r="A10" s="41"/>
      <c r="B10" s="3"/>
      <c r="C10" s="13">
        <v>550</v>
      </c>
      <c r="D10" s="13">
        <v>1855</v>
      </c>
      <c r="E10" s="13">
        <v>1180</v>
      </c>
      <c r="F10" s="13">
        <v>1100</v>
      </c>
      <c r="G10" s="13">
        <v>0.87272727272727268</v>
      </c>
      <c r="H10" s="13">
        <v>1140</v>
      </c>
      <c r="I10" s="13">
        <v>1.1291666666666667</v>
      </c>
      <c r="J10" s="13">
        <v>675</v>
      </c>
      <c r="K10" s="13">
        <v>0.92250922509225097</v>
      </c>
      <c r="L10" s="13">
        <v>480</v>
      </c>
      <c r="M10" s="13">
        <v>1</v>
      </c>
      <c r="N10" s="13">
        <v>460</v>
      </c>
      <c r="O10" s="13">
        <v>1.02</v>
      </c>
      <c r="P10" s="13">
        <v>1367</v>
      </c>
      <c r="Q10" s="13">
        <v>0.76470588235294112</v>
      </c>
      <c r="R10" s="13">
        <v>1402</v>
      </c>
      <c r="S10" s="13">
        <v>0.97435897435897434</v>
      </c>
      <c r="T10" s="13">
        <v>1496</v>
      </c>
      <c r="U10" s="13">
        <v>6.2236842105263159</v>
      </c>
      <c r="V10" s="13">
        <v>2547</v>
      </c>
      <c r="W10" s="30">
        <f>'2021'!C10/'2020'!V10</f>
        <v>0.64114644680015709</v>
      </c>
      <c r="X10" s="4"/>
      <c r="Y10" s="4"/>
    </row>
    <row r="11" spans="1:26" ht="22.5" customHeight="1" x14ac:dyDescent="0.25">
      <c r="A11" s="46" t="s">
        <v>17</v>
      </c>
      <c r="B11" s="47"/>
      <c r="C11" s="14">
        <f>SUM(C5:C8,C10)</f>
        <v>120710115</v>
      </c>
      <c r="D11" s="14">
        <f t="shared" ref="D11:V11" si="0">SUM(D5:D8,D10)</f>
        <v>156529428</v>
      </c>
      <c r="E11" s="14">
        <f>SUM(E5:E8,E10)</f>
        <v>141059346</v>
      </c>
      <c r="F11" s="14">
        <f t="shared" si="0"/>
        <v>129035244</v>
      </c>
      <c r="G11" s="14"/>
      <c r="H11" s="14">
        <f>SUM(H5:H8,H10)</f>
        <v>116242696</v>
      </c>
      <c r="I11" s="14"/>
      <c r="J11" s="14">
        <f t="shared" si="0"/>
        <v>124868305</v>
      </c>
      <c r="K11" s="14"/>
      <c r="L11" s="14">
        <f>SUM(L5:L8,L10)</f>
        <v>132966697</v>
      </c>
      <c r="M11" s="14"/>
      <c r="N11" s="14">
        <f t="shared" si="0"/>
        <v>109504070</v>
      </c>
      <c r="O11" s="14"/>
      <c r="P11" s="14">
        <f>SUM(P5:P8,P10)</f>
        <v>130443890</v>
      </c>
      <c r="Q11" s="14"/>
      <c r="R11" s="14">
        <f t="shared" si="0"/>
        <v>136859454</v>
      </c>
      <c r="S11" s="14"/>
      <c r="T11" s="14">
        <f t="shared" si="0"/>
        <v>136617778</v>
      </c>
      <c r="U11" s="14"/>
      <c r="V11" s="14">
        <f t="shared" si="0"/>
        <v>155576101</v>
      </c>
      <c r="X11" s="4"/>
      <c r="Y11" s="24"/>
      <c r="Z11" s="15"/>
    </row>
    <row r="12" spans="1:26" ht="22.5" customHeight="1" x14ac:dyDescent="0.25">
      <c r="X12" s="4"/>
      <c r="Y12" s="4"/>
    </row>
    <row r="13" spans="1:26" ht="22.5" customHeight="1" x14ac:dyDescent="0.25">
      <c r="C13" s="28"/>
      <c r="E13" s="27"/>
      <c r="F13" s="18"/>
      <c r="G13" s="18"/>
      <c r="H13" s="25"/>
      <c r="I13" s="25"/>
      <c r="J13" s="15"/>
      <c r="K13" s="15"/>
      <c r="L13" s="15"/>
      <c r="M13" s="15"/>
      <c r="N13" s="15"/>
      <c r="O13" s="15"/>
    </row>
    <row r="14" spans="1:26" ht="22.5" customHeight="1" x14ac:dyDescent="0.25">
      <c r="C14" s="28"/>
      <c r="D14" s="19"/>
      <c r="E14" s="27"/>
      <c r="F14" s="25"/>
      <c r="G14" s="25"/>
      <c r="H14" s="25"/>
      <c r="I14" s="25"/>
      <c r="J14" s="15"/>
      <c r="K14" s="15"/>
      <c r="L14" s="15"/>
      <c r="M14" s="15"/>
      <c r="N14" s="15"/>
      <c r="O14" s="15"/>
      <c r="R14" s="15"/>
      <c r="S14" s="15"/>
      <c r="V14" s="15"/>
    </row>
    <row r="15" spans="1:26" ht="22.5" customHeight="1" x14ac:dyDescent="0.25">
      <c r="C15" s="28"/>
      <c r="D15" s="18"/>
      <c r="E15" s="25"/>
      <c r="F15" s="25"/>
      <c r="G15" s="2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22.5" customHeight="1" x14ac:dyDescent="0.25">
      <c r="C16" s="28"/>
      <c r="D16" s="15"/>
      <c r="E16" s="25"/>
      <c r="F16" s="25"/>
      <c r="G16" s="25"/>
      <c r="J16" s="15"/>
      <c r="K16" s="15"/>
      <c r="L16" s="15"/>
      <c r="M16" s="15"/>
      <c r="P16" s="15"/>
      <c r="Q16" s="15"/>
      <c r="T16" s="15"/>
      <c r="U16" s="15"/>
      <c r="V16" s="15"/>
    </row>
    <row r="17" spans="3:22" ht="22.5" customHeight="1" x14ac:dyDescent="0.25">
      <c r="C17" s="26"/>
      <c r="D17" s="15"/>
      <c r="E17" s="27"/>
      <c r="F17" s="25"/>
      <c r="G17" s="25"/>
      <c r="J17" s="15"/>
      <c r="K17" s="15"/>
      <c r="L17" s="15"/>
      <c r="M17" s="15"/>
      <c r="P17" s="15"/>
      <c r="Q17" s="15"/>
      <c r="R17" s="15"/>
      <c r="S17" s="15"/>
      <c r="T17" s="15"/>
      <c r="U17" s="15"/>
      <c r="V17" s="15"/>
    </row>
    <row r="18" spans="3:22" ht="22.5" customHeight="1" x14ac:dyDescent="0.25">
      <c r="C18" s="4"/>
      <c r="D18" s="15"/>
      <c r="E18" s="15"/>
      <c r="F18" s="15"/>
      <c r="G18" s="15"/>
      <c r="J18" s="15"/>
      <c r="K18" s="15"/>
      <c r="R18" s="15"/>
      <c r="S18" s="15"/>
    </row>
    <row r="19" spans="3:22" ht="22.5" customHeight="1" x14ac:dyDescent="0.25">
      <c r="C19" s="4"/>
      <c r="L19" s="15"/>
      <c r="M19" s="15"/>
      <c r="N19" s="15"/>
      <c r="O19" s="15"/>
      <c r="R19" s="15"/>
      <c r="S19" s="15"/>
    </row>
    <row r="20" spans="3:22" ht="22.5" customHeight="1" x14ac:dyDescent="0.25">
      <c r="C20" s="4"/>
      <c r="J20" s="15"/>
      <c r="K20" s="15"/>
      <c r="N20" s="15"/>
      <c r="O20" s="15"/>
    </row>
    <row r="21" spans="3:22" ht="22.5" customHeight="1" x14ac:dyDescent="0.25">
      <c r="C21" s="4"/>
    </row>
    <row r="22" spans="3:22" ht="22.5" customHeight="1" x14ac:dyDescent="0.25">
      <c r="L22" s="15"/>
      <c r="M22" s="15"/>
    </row>
    <row r="25" spans="3:22" ht="22.5" customHeight="1" x14ac:dyDescent="0.25">
      <c r="L25" s="15"/>
      <c r="M25" s="15"/>
    </row>
    <row r="30" spans="3:22" ht="22.5" customHeight="1" x14ac:dyDescent="0.25">
      <c r="L30" s="15"/>
      <c r="M30" s="15"/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scale="3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0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20.140625" style="1" customWidth="1"/>
    <col min="4" max="4" width="20.140625" style="1" hidden="1" customWidth="1"/>
    <col min="5" max="5" width="20.140625" style="1" customWidth="1"/>
    <col min="6" max="6" width="2.42578125" style="1" hidden="1" customWidth="1"/>
    <col min="7" max="7" width="20.140625" style="1" customWidth="1"/>
    <col min="8" max="8" width="20.140625" style="1" hidden="1" customWidth="1"/>
    <col min="9" max="9" width="20.140625" style="1" customWidth="1"/>
    <col min="10" max="11" width="20.140625" style="1" hidden="1" customWidth="1"/>
    <col min="12" max="12" width="20.140625" style="1" customWidth="1"/>
    <col min="13" max="14" width="20.140625" style="1" hidden="1" customWidth="1"/>
    <col min="15" max="15" width="20.140625" style="1" customWidth="1"/>
    <col min="16" max="17" width="20.140625" style="1" hidden="1" customWidth="1"/>
    <col min="18" max="18" width="20.140625" style="1" customWidth="1"/>
    <col min="19" max="20" width="20.140625" style="1" hidden="1" customWidth="1"/>
    <col min="21" max="21" width="20.140625" style="1" customWidth="1"/>
    <col min="22" max="23" width="20.140625" style="1" hidden="1" customWidth="1"/>
    <col min="24" max="24" width="20.140625" style="1" customWidth="1"/>
    <col min="25" max="26" width="20.140625" style="1" hidden="1" customWidth="1"/>
    <col min="27" max="27" width="20.140625" style="1" customWidth="1"/>
    <col min="28" max="29" width="20.140625" style="1" hidden="1" customWidth="1"/>
    <col min="30" max="30" width="20.140625" style="1" customWidth="1"/>
    <col min="31" max="32" width="20.140625" style="1" hidden="1" customWidth="1"/>
    <col min="33" max="33" width="20.140625" style="1" customWidth="1"/>
    <col min="34" max="34" width="10.5703125" style="30" bestFit="1" customWidth="1"/>
    <col min="35" max="35" width="9.140625" style="1"/>
    <col min="36" max="36" width="14" style="1" customWidth="1"/>
    <col min="37" max="37" width="11.7109375" style="1" bestFit="1" customWidth="1"/>
    <col min="38" max="16384" width="9.140625" style="1"/>
  </cols>
  <sheetData>
    <row r="2" spans="1:37" s="4" customFormat="1" ht="42.75" customHeight="1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0"/>
    </row>
    <row r="3" spans="1:37" s="8" customFormat="1" ht="33" customHeight="1" x14ac:dyDescent="0.25">
      <c r="A3" s="5" t="s">
        <v>0</v>
      </c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/>
      <c r="L3" s="7" t="s">
        <v>6</v>
      </c>
      <c r="M3" s="7"/>
      <c r="N3" s="7"/>
      <c r="O3" s="7" t="s">
        <v>7</v>
      </c>
      <c r="P3" s="7"/>
      <c r="Q3" s="7"/>
      <c r="R3" s="7" t="s">
        <v>8</v>
      </c>
      <c r="S3" s="7"/>
      <c r="T3" s="7"/>
      <c r="U3" s="7" t="s">
        <v>9</v>
      </c>
      <c r="V3" s="7"/>
      <c r="W3" s="7"/>
      <c r="X3" s="7" t="s">
        <v>10</v>
      </c>
      <c r="Y3" s="7"/>
      <c r="Z3" s="7"/>
      <c r="AA3" s="7" t="s">
        <v>11</v>
      </c>
      <c r="AB3" s="7"/>
      <c r="AC3" s="7"/>
      <c r="AD3" s="7" t="s">
        <v>12</v>
      </c>
      <c r="AE3" s="7"/>
      <c r="AF3" s="7"/>
      <c r="AG3" s="7" t="s">
        <v>13</v>
      </c>
      <c r="AH3" s="31"/>
    </row>
    <row r="4" spans="1:37" ht="22.5" customHeight="1" x14ac:dyDescent="0.25">
      <c r="A4" s="40" t="s">
        <v>18</v>
      </c>
      <c r="B4" s="43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7" ht="22.5" customHeight="1" x14ac:dyDescent="0.25">
      <c r="A5" s="41"/>
      <c r="B5" s="32" t="s">
        <v>19</v>
      </c>
      <c r="C5" s="33">
        <v>63399</v>
      </c>
      <c r="D5" s="34">
        <v>0.97320145405359704</v>
      </c>
      <c r="E5" s="33">
        <v>60188</v>
      </c>
      <c r="F5" s="34">
        <v>1.064489642278037</v>
      </c>
      <c r="G5" s="33">
        <v>73325</v>
      </c>
      <c r="H5" s="34">
        <v>1.0744727357509933</v>
      </c>
      <c r="I5" s="33">
        <v>62169</v>
      </c>
      <c r="J5" s="34"/>
      <c r="K5" s="34">
        <v>7.3139064943988863E-2</v>
      </c>
      <c r="L5" s="33">
        <v>2167237</v>
      </c>
      <c r="M5" s="34"/>
      <c r="N5" s="34">
        <v>1.0390140183449947</v>
      </c>
      <c r="O5" s="33">
        <v>2057841</v>
      </c>
      <c r="P5" s="34"/>
      <c r="Q5" s="34">
        <v>0.74600832837596665</v>
      </c>
      <c r="R5" s="33">
        <v>1666543</v>
      </c>
      <c r="S5" s="34"/>
      <c r="T5" s="34">
        <v>0.76121973780740648</v>
      </c>
      <c r="U5" s="33">
        <v>1404587</v>
      </c>
      <c r="V5" s="34"/>
      <c r="W5" s="34">
        <v>1.9490048187722606</v>
      </c>
      <c r="X5" s="33">
        <v>1505511</v>
      </c>
      <c r="Y5" s="34"/>
      <c r="Z5" s="34">
        <v>4.0971771332745686</v>
      </c>
      <c r="AA5" s="33">
        <v>2264372</v>
      </c>
      <c r="AB5" s="34"/>
      <c r="AC5" s="34">
        <v>2.6068572508028462</v>
      </c>
      <c r="AD5" s="33">
        <v>2955697</v>
      </c>
      <c r="AE5" s="34"/>
      <c r="AF5" s="34">
        <v>0.43468117569857928</v>
      </c>
      <c r="AG5" s="33">
        <v>2568107</v>
      </c>
      <c r="AH5" s="30">
        <f>'2022'!D5/'2021'!AG5</f>
        <v>0.94931908989773406</v>
      </c>
      <c r="AI5" s="4"/>
      <c r="AJ5" s="24"/>
      <c r="AK5" s="15"/>
    </row>
    <row r="6" spans="1:37" ht="22.5" customHeight="1" x14ac:dyDescent="0.25">
      <c r="A6" s="41"/>
      <c r="B6" s="32" t="s">
        <v>14</v>
      </c>
      <c r="C6" s="34">
        <v>123539505</v>
      </c>
      <c r="D6" s="34">
        <v>1.3016192246094644</v>
      </c>
      <c r="E6" s="34">
        <v>141728471</v>
      </c>
      <c r="F6" s="34">
        <v>0.9003953002557582</v>
      </c>
      <c r="G6" s="34">
        <v>150442048</v>
      </c>
      <c r="H6" s="34">
        <v>0.91426480432439838</v>
      </c>
      <c r="I6" s="34">
        <v>136404567</v>
      </c>
      <c r="J6" s="34"/>
      <c r="K6" s="34">
        <v>0.90411193720084826</v>
      </c>
      <c r="L6" s="33">
        <v>121659233</v>
      </c>
      <c r="M6" s="34"/>
      <c r="N6" s="34">
        <v>1.0749538780363399</v>
      </c>
      <c r="O6" s="34">
        <v>134911080</v>
      </c>
      <c r="P6" s="34"/>
      <c r="Q6" s="34">
        <v>1.0651201504856673</v>
      </c>
      <c r="R6" s="34">
        <v>140368829</v>
      </c>
      <c r="S6" s="34"/>
      <c r="T6" s="34">
        <v>0.82615790993796367</v>
      </c>
      <c r="U6" s="33">
        <v>123287984</v>
      </c>
      <c r="V6" s="34"/>
      <c r="W6" s="34">
        <v>1.1918911646872929</v>
      </c>
      <c r="X6" s="34">
        <v>132786186</v>
      </c>
      <c r="Y6" s="34"/>
      <c r="Z6" s="34">
        <v>1.0472812598404908</v>
      </c>
      <c r="AA6" s="34">
        <v>138136728</v>
      </c>
      <c r="AB6" s="34"/>
      <c r="AC6" s="34">
        <v>0.99528383470010495</v>
      </c>
      <c r="AD6" s="34">
        <v>143352150</v>
      </c>
      <c r="AE6" s="34"/>
      <c r="AF6" s="34">
        <v>1.1407383516778036</v>
      </c>
      <c r="AG6" s="34">
        <v>155705578</v>
      </c>
      <c r="AH6" s="30">
        <f>'2022'!D6/'2021'!AG6</f>
        <v>0.90698127718969712</v>
      </c>
      <c r="AI6" s="4"/>
      <c r="AJ6" s="4"/>
    </row>
    <row r="7" spans="1:37" ht="22.5" customHeight="1" x14ac:dyDescent="0.25">
      <c r="A7" s="41"/>
      <c r="B7" s="32" t="s">
        <v>15</v>
      </c>
      <c r="C7" s="34">
        <v>532681</v>
      </c>
      <c r="D7" s="34">
        <v>0.91101185952905073</v>
      </c>
      <c r="E7" s="34">
        <v>475560</v>
      </c>
      <c r="F7" s="34">
        <v>0.93881821117210207</v>
      </c>
      <c r="G7" s="34">
        <v>411269</v>
      </c>
      <c r="H7" s="34">
        <v>0.88738741837258783</v>
      </c>
      <c r="I7" s="34">
        <v>329453</v>
      </c>
      <c r="J7" s="34"/>
      <c r="K7" s="34">
        <v>0.95593963533666049</v>
      </c>
      <c r="L7" s="34">
        <v>223583</v>
      </c>
      <c r="M7" s="34"/>
      <c r="N7" s="34">
        <v>0.9651545764773457</v>
      </c>
      <c r="O7" s="34">
        <v>206492</v>
      </c>
      <c r="P7" s="34"/>
      <c r="Q7" s="34">
        <v>1.0281218581178533</v>
      </c>
      <c r="R7" s="34">
        <v>215639</v>
      </c>
      <c r="S7" s="34"/>
      <c r="T7" s="34">
        <v>0.33808846062174402</v>
      </c>
      <c r="U7" s="34">
        <v>237885</v>
      </c>
      <c r="V7" s="34"/>
      <c r="W7" s="34">
        <v>0.86811987124999501</v>
      </c>
      <c r="X7" s="34">
        <v>231535</v>
      </c>
      <c r="Y7" s="34"/>
      <c r="Z7" s="34">
        <v>1.5466597987897688</v>
      </c>
      <c r="AA7" s="34">
        <v>335256</v>
      </c>
      <c r="AB7" s="34"/>
      <c r="AC7" s="34">
        <v>1.3164245917329485</v>
      </c>
      <c r="AD7" s="34">
        <v>410084</v>
      </c>
      <c r="AE7" s="34"/>
      <c r="AF7" s="34">
        <v>1.2531184261207076</v>
      </c>
      <c r="AG7" s="34">
        <v>496716</v>
      </c>
      <c r="AH7" s="30">
        <f>'2022'!D7/'2021'!AG7</f>
        <v>1.1178520522793709</v>
      </c>
      <c r="AI7" s="4"/>
      <c r="AJ7" s="4"/>
    </row>
    <row r="8" spans="1:37" ht="22.5" customHeight="1" x14ac:dyDescent="0.25">
      <c r="A8" s="41"/>
      <c r="B8" s="32" t="s">
        <v>16</v>
      </c>
      <c r="C8" s="34">
        <v>116448</v>
      </c>
      <c r="D8" s="34">
        <v>0.93005007485416347</v>
      </c>
      <c r="E8" s="34">
        <v>104740</v>
      </c>
      <c r="F8" s="34">
        <v>0.98970359680284192</v>
      </c>
      <c r="G8" s="34">
        <v>106087</v>
      </c>
      <c r="H8" s="34">
        <v>1.0630941364515858</v>
      </c>
      <c r="I8" s="34">
        <v>92679</v>
      </c>
      <c r="J8" s="34"/>
      <c r="K8" s="34">
        <v>0.89976523964020994</v>
      </c>
      <c r="L8" s="33">
        <v>82411</v>
      </c>
      <c r="M8" s="34"/>
      <c r="N8" s="34">
        <v>1.0165489138401103</v>
      </c>
      <c r="O8" s="34">
        <v>95731</v>
      </c>
      <c r="P8" s="34"/>
      <c r="Q8" s="34">
        <v>1.1663566495075774</v>
      </c>
      <c r="R8" s="34">
        <v>110146</v>
      </c>
      <c r="S8" s="34"/>
      <c r="T8" s="34">
        <v>0.98572099693403226</v>
      </c>
      <c r="U8" s="34">
        <v>112695</v>
      </c>
      <c r="V8" s="34"/>
      <c r="W8" s="34">
        <v>1.0469065506126698</v>
      </c>
      <c r="X8" s="34">
        <v>87909</v>
      </c>
      <c r="Y8" s="34"/>
      <c r="Z8" s="34">
        <v>1.0301295029530506</v>
      </c>
      <c r="AA8" s="34">
        <v>81164</v>
      </c>
      <c r="AB8" s="34"/>
      <c r="AC8" s="34">
        <v>0.87338931013629806</v>
      </c>
      <c r="AD8" s="34">
        <v>71114</v>
      </c>
      <c r="AE8" s="34"/>
      <c r="AF8" s="34">
        <v>1.5612175603520593</v>
      </c>
      <c r="AG8" s="34">
        <v>124507</v>
      </c>
      <c r="AH8" s="30">
        <f>'2022'!D8/'2021'!AG8</f>
        <v>0.9170167139196993</v>
      </c>
      <c r="AI8" s="4"/>
      <c r="AJ8" s="4"/>
    </row>
    <row r="9" spans="1:37" ht="22.5" customHeight="1" x14ac:dyDescent="0.25">
      <c r="A9" s="41"/>
      <c r="B9" s="48" t="s">
        <v>23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0"/>
      <c r="AI9" s="4"/>
      <c r="AJ9" s="24"/>
      <c r="AK9" s="15"/>
    </row>
    <row r="10" spans="1:37" ht="22.5" customHeight="1" x14ac:dyDescent="0.25">
      <c r="A10" s="41"/>
      <c r="B10" s="37" t="s">
        <v>23</v>
      </c>
      <c r="C10" s="34">
        <v>1633</v>
      </c>
      <c r="D10" s="34">
        <v>3.3727272727272726</v>
      </c>
      <c r="E10" s="34">
        <v>1843</v>
      </c>
      <c r="F10" s="34">
        <v>0.63611859838274931</v>
      </c>
      <c r="G10" s="34">
        <v>1595</v>
      </c>
      <c r="H10" s="34">
        <v>0.93220338983050843</v>
      </c>
      <c r="I10" s="34">
        <v>1499</v>
      </c>
      <c r="J10" s="34"/>
      <c r="K10" s="34">
        <v>1.0363636363636364</v>
      </c>
      <c r="L10" s="34">
        <v>991</v>
      </c>
      <c r="M10" s="34"/>
      <c r="N10" s="34">
        <v>0.59210526315789469</v>
      </c>
      <c r="O10" s="34">
        <v>656</v>
      </c>
      <c r="P10" s="34"/>
      <c r="Q10" s="34">
        <v>0.71111111111111114</v>
      </c>
      <c r="R10" s="34">
        <v>1206</v>
      </c>
      <c r="S10" s="34"/>
      <c r="T10" s="34">
        <v>0.95833333333333337</v>
      </c>
      <c r="U10" s="34">
        <v>255</v>
      </c>
      <c r="V10" s="34"/>
      <c r="W10" s="34">
        <v>2.9717391304347824</v>
      </c>
      <c r="X10" s="34">
        <v>811</v>
      </c>
      <c r="Y10" s="34"/>
      <c r="Z10" s="34">
        <v>1.0256035113386979</v>
      </c>
      <c r="AA10" s="34">
        <v>869</v>
      </c>
      <c r="AB10" s="34"/>
      <c r="AC10" s="34">
        <v>1.0670470756062767</v>
      </c>
      <c r="AD10" s="34">
        <v>2129</v>
      </c>
      <c r="AE10" s="34"/>
      <c r="AF10" s="34">
        <v>1.7025401069518717</v>
      </c>
      <c r="AG10" s="34">
        <v>1668</v>
      </c>
      <c r="AH10" s="30">
        <f>'2022'!D10/'2021'!AG10</f>
        <v>1.0449640287769784</v>
      </c>
      <c r="AI10" s="4"/>
      <c r="AJ10" s="4"/>
    </row>
    <row r="11" spans="1:37" ht="22.5" customHeight="1" x14ac:dyDescent="0.25">
      <c r="A11" s="46" t="s">
        <v>17</v>
      </c>
      <c r="B11" s="47"/>
      <c r="C11" s="14">
        <f>SUM(C5:C8,C10)</f>
        <v>124253666</v>
      </c>
      <c r="D11" s="14"/>
      <c r="E11" s="14">
        <f t="shared" ref="E11:AG11" si="0">SUM(E5:E8,E10)</f>
        <v>142370802</v>
      </c>
      <c r="F11" s="14"/>
      <c r="G11" s="14">
        <f>SUM(G5:G8,G10)</f>
        <v>151034324</v>
      </c>
      <c r="H11" s="14"/>
      <c r="I11" s="14">
        <f t="shared" si="0"/>
        <v>136890367</v>
      </c>
      <c r="J11" s="14"/>
      <c r="K11" s="14"/>
      <c r="L11" s="14">
        <f>SUM(L5:L8,L10)</f>
        <v>124133455</v>
      </c>
      <c r="M11" s="14"/>
      <c r="N11" s="14"/>
      <c r="O11" s="14">
        <f t="shared" si="0"/>
        <v>137271800</v>
      </c>
      <c r="P11" s="14"/>
      <c r="Q11" s="14"/>
      <c r="R11" s="14">
        <f>SUM(R5:R8,R10)</f>
        <v>142362363</v>
      </c>
      <c r="S11" s="14"/>
      <c r="T11" s="14"/>
      <c r="U11" s="14">
        <f t="shared" si="0"/>
        <v>125043406</v>
      </c>
      <c r="V11" s="14"/>
      <c r="W11" s="14"/>
      <c r="X11" s="14">
        <f>SUM(X5:X8,X10)</f>
        <v>134611952</v>
      </c>
      <c r="Y11" s="14"/>
      <c r="Z11" s="14"/>
      <c r="AA11" s="14">
        <f t="shared" si="0"/>
        <v>140818389</v>
      </c>
      <c r="AB11" s="14"/>
      <c r="AC11" s="14"/>
      <c r="AD11" s="14">
        <f t="shared" si="0"/>
        <v>146791174</v>
      </c>
      <c r="AE11" s="14"/>
      <c r="AF11" s="14"/>
      <c r="AG11" s="14">
        <f t="shared" si="0"/>
        <v>158896576</v>
      </c>
      <c r="AI11" s="4"/>
      <c r="AJ11" s="24"/>
      <c r="AK11" s="15"/>
    </row>
    <row r="12" spans="1:37" ht="22.5" customHeight="1" x14ac:dyDescent="0.25">
      <c r="AI12" s="4"/>
      <c r="AJ12" s="4"/>
    </row>
    <row r="13" spans="1:37" ht="22.5" customHeight="1" x14ac:dyDescent="0.25">
      <c r="C13" s="28"/>
      <c r="D13" s="28"/>
      <c r="G13" s="27"/>
      <c r="H13" s="27"/>
      <c r="I13" s="18"/>
      <c r="J13" s="18"/>
      <c r="K13" s="18"/>
      <c r="L13" s="25"/>
      <c r="M13" s="25"/>
      <c r="N13" s="25"/>
      <c r="O13" s="15"/>
      <c r="P13" s="15"/>
      <c r="Q13" s="15"/>
      <c r="R13" s="15"/>
      <c r="S13" s="15"/>
      <c r="T13" s="15"/>
      <c r="U13" s="15"/>
      <c r="V13" s="15"/>
      <c r="W13" s="15"/>
      <c r="AG13" s="15"/>
    </row>
    <row r="14" spans="1:37" ht="22.5" customHeight="1" x14ac:dyDescent="0.25">
      <c r="C14" s="28"/>
      <c r="D14" s="28"/>
      <c r="E14" s="19"/>
      <c r="F14" s="19"/>
      <c r="G14" s="27"/>
      <c r="H14" s="27"/>
      <c r="I14" s="25"/>
      <c r="J14" s="25"/>
      <c r="K14" s="25"/>
      <c r="L14" s="25"/>
      <c r="M14" s="25"/>
      <c r="N14" s="25"/>
      <c r="O14" s="15"/>
      <c r="P14" s="15"/>
      <c r="Q14" s="15"/>
      <c r="R14" s="15"/>
      <c r="S14" s="15"/>
      <c r="T14" s="15"/>
      <c r="U14" s="15"/>
      <c r="V14" s="15"/>
      <c r="W14" s="15"/>
      <c r="AA14" s="15"/>
      <c r="AB14" s="15"/>
      <c r="AC14" s="15"/>
      <c r="AG14" s="15"/>
    </row>
    <row r="15" spans="1:37" ht="22.5" customHeight="1" x14ac:dyDescent="0.25">
      <c r="C15" s="28"/>
      <c r="D15" s="28"/>
      <c r="E15" s="18"/>
      <c r="F15" s="18"/>
      <c r="G15" s="25"/>
      <c r="H15" s="25"/>
      <c r="I15" s="25"/>
      <c r="J15" s="25"/>
      <c r="K15" s="2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7" ht="22.5" customHeight="1" x14ac:dyDescent="0.25">
      <c r="C16" s="28"/>
      <c r="D16" s="28"/>
      <c r="E16" s="15"/>
      <c r="F16" s="15"/>
      <c r="G16" s="25"/>
      <c r="H16" s="25"/>
      <c r="I16" s="25"/>
      <c r="J16" s="25"/>
      <c r="K16" s="25"/>
      <c r="O16" s="15"/>
      <c r="P16" s="15"/>
      <c r="Q16" s="15"/>
      <c r="R16" s="15"/>
      <c r="S16" s="15"/>
      <c r="T16" s="15"/>
      <c r="X16" s="15"/>
      <c r="Y16" s="15"/>
      <c r="Z16" s="15"/>
      <c r="AD16" s="15"/>
      <c r="AE16" s="15"/>
      <c r="AF16" s="15"/>
      <c r="AG16" s="15"/>
    </row>
    <row r="17" spans="3:33" ht="22.5" customHeight="1" x14ac:dyDescent="0.25">
      <c r="C17" s="26"/>
      <c r="D17" s="26"/>
      <c r="E17" s="15"/>
      <c r="F17" s="15"/>
      <c r="G17" s="27"/>
      <c r="H17" s="27"/>
      <c r="I17" s="25"/>
      <c r="J17" s="25"/>
      <c r="K17" s="25"/>
      <c r="O17" s="15"/>
      <c r="P17" s="15"/>
      <c r="Q17" s="15"/>
      <c r="R17" s="15"/>
      <c r="S17" s="15"/>
      <c r="T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3:33" ht="22.5" customHeight="1" x14ac:dyDescent="0.25">
      <c r="C18" s="4"/>
      <c r="D18" s="4"/>
      <c r="E18" s="15"/>
      <c r="F18" s="15"/>
      <c r="G18" s="15"/>
      <c r="H18" s="15"/>
      <c r="I18" s="15"/>
      <c r="J18" s="15"/>
      <c r="K18" s="15"/>
      <c r="O18" s="15"/>
      <c r="P18" s="15"/>
      <c r="Q18" s="15"/>
      <c r="AA18" s="15"/>
      <c r="AB18" s="15"/>
      <c r="AC18" s="15"/>
    </row>
    <row r="19" spans="3:33" ht="22.5" customHeight="1" x14ac:dyDescent="0.25">
      <c r="C19" s="4"/>
      <c r="D19" s="4"/>
      <c r="R19" s="15"/>
      <c r="S19" s="15"/>
      <c r="T19" s="15"/>
      <c r="U19" s="15"/>
      <c r="V19" s="15"/>
      <c r="W19" s="15"/>
      <c r="AA19" s="15"/>
      <c r="AB19" s="15"/>
      <c r="AC19" s="15"/>
    </row>
    <row r="20" spans="3:33" ht="22.5" customHeight="1" x14ac:dyDescent="0.25">
      <c r="C20" s="4"/>
      <c r="D20" s="4"/>
      <c r="O20" s="15"/>
      <c r="P20" s="15"/>
      <c r="Q20" s="15"/>
      <c r="U20" s="15"/>
      <c r="V20" s="15"/>
      <c r="W20" s="15"/>
    </row>
    <row r="21" spans="3:33" ht="22.5" customHeight="1" x14ac:dyDescent="0.25">
      <c r="C21" s="4"/>
      <c r="D21" s="4"/>
    </row>
    <row r="22" spans="3:33" ht="22.5" customHeight="1" x14ac:dyDescent="0.25">
      <c r="R22" s="15"/>
      <c r="S22" s="15"/>
      <c r="T22" s="15"/>
    </row>
    <row r="25" spans="3:33" ht="22.5" customHeight="1" x14ac:dyDescent="0.25">
      <c r="R25" s="15"/>
      <c r="S25" s="15"/>
      <c r="T25" s="15"/>
    </row>
    <row r="30" spans="3:33" ht="22.5" customHeight="1" x14ac:dyDescent="0.25">
      <c r="R30" s="15"/>
      <c r="S30" s="15"/>
      <c r="T30" s="15"/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2025-01-20T07:38:12Z</dcterms:modified>
</cp:coreProperties>
</file>