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-15" yWindow="285" windowWidth="10200" windowHeight="7455" firstSheet="8" activeTab="11"/>
  </bookViews>
  <sheets>
    <sheet name="2013 " sheetId="5" state="hidden" r:id="rId1"/>
    <sheet name="2014" sheetId="6" state="hidden" r:id="rId2"/>
    <sheet name="2015 " sheetId="7" state="hidden" r:id="rId3"/>
    <sheet name="2016" sheetId="8" state="hidden" r:id="rId4"/>
    <sheet name="2017" sheetId="9" state="hidden" r:id="rId5"/>
    <sheet name="2018" sheetId="10" state="hidden" r:id="rId6"/>
    <sheet name="2019" sheetId="11" state="hidden" r:id="rId7"/>
    <sheet name="2020" sheetId="12" state="hidden" r:id="rId8"/>
    <sheet name="2021" sheetId="13" r:id="rId9"/>
    <sheet name="2022" sheetId="14" r:id="rId10"/>
    <sheet name="2023" sheetId="15" r:id="rId11"/>
    <sheet name="2024" sheetId="16" r:id="rId12"/>
  </sheets>
  <calcPr calcId="162913"/>
</workbook>
</file>

<file path=xl/calcChain.xml><?xml version="1.0" encoding="utf-8"?>
<calcChain xmlns="http://schemas.openxmlformats.org/spreadsheetml/2006/main">
  <c r="N8" i="16" l="1"/>
  <c r="N6" i="16"/>
  <c r="M8" i="16" l="1"/>
  <c r="M6" i="16" l="1"/>
  <c r="L8" i="16" l="1"/>
  <c r="L6" i="16"/>
  <c r="K8" i="16" l="1"/>
  <c r="K6" i="16"/>
  <c r="J8" i="16" l="1"/>
  <c r="I8" i="16"/>
  <c r="J6" i="16"/>
  <c r="I6" i="16" l="1"/>
  <c r="H8" i="16" l="1"/>
  <c r="H6" i="16"/>
  <c r="G8" i="16" l="1"/>
  <c r="G6" i="16"/>
  <c r="F9" i="16" l="1"/>
  <c r="F8" i="16"/>
  <c r="F6" i="16"/>
  <c r="E9" i="16" l="1"/>
  <c r="E8" i="16"/>
  <c r="E6" i="16"/>
  <c r="D9" i="16" l="1"/>
  <c r="D8" i="16"/>
  <c r="D6" i="16"/>
  <c r="C8" i="16" l="1"/>
  <c r="C6" i="16"/>
  <c r="N20" i="16" l="1"/>
  <c r="M20" i="16"/>
  <c r="L20" i="16"/>
  <c r="K20" i="16"/>
  <c r="J20" i="16"/>
  <c r="I20" i="16"/>
  <c r="H20" i="16"/>
  <c r="G20" i="16"/>
  <c r="F20" i="16"/>
  <c r="E20" i="16"/>
  <c r="D20" i="16"/>
  <c r="C20" i="16"/>
  <c r="N8" i="15" l="1"/>
  <c r="N6" i="15"/>
  <c r="M8" i="15" l="1"/>
  <c r="M6" i="15"/>
  <c r="L6" i="15" l="1"/>
  <c r="L8" i="15"/>
  <c r="K8" i="15" l="1"/>
  <c r="K6" i="15"/>
  <c r="J8" i="15" l="1"/>
  <c r="J6" i="15"/>
  <c r="I6" i="15" l="1"/>
  <c r="I8" i="15" l="1"/>
  <c r="H8" i="15" l="1"/>
  <c r="H6" i="15"/>
  <c r="G8" i="15" l="1"/>
  <c r="G6" i="15"/>
  <c r="F8" i="15" l="1"/>
  <c r="F6" i="15"/>
  <c r="E6" i="15" l="1"/>
  <c r="E8" i="15"/>
  <c r="D6" i="15" l="1"/>
  <c r="D8" i="15" l="1"/>
  <c r="C8" i="15" l="1"/>
  <c r="C6" i="15"/>
  <c r="C20" i="15" l="1"/>
  <c r="AH16" i="13"/>
  <c r="AH9" i="13"/>
  <c r="AH8" i="13"/>
  <c r="AH6" i="13"/>
  <c r="L20" i="15"/>
  <c r="K20" i="15"/>
  <c r="H20" i="15"/>
  <c r="N20" i="15"/>
  <c r="M20" i="15"/>
  <c r="J20" i="15"/>
  <c r="I20" i="15"/>
  <c r="G20" i="15"/>
  <c r="F20" i="15"/>
  <c r="E20" i="15"/>
  <c r="D20" i="15"/>
  <c r="AS6" i="14" l="1"/>
  <c r="AO6" i="14" l="1"/>
  <c r="AK6" i="14" l="1"/>
  <c r="AG6" i="14" l="1"/>
  <c r="AC6" i="14" l="1"/>
  <c r="Y6" i="14" l="1"/>
  <c r="U6" i="14" l="1"/>
  <c r="Q6" i="14" l="1"/>
  <c r="M6" i="14" l="1"/>
  <c r="J6" i="14" l="1"/>
  <c r="G6" i="14" l="1"/>
  <c r="D6" i="14" l="1"/>
  <c r="AG6" i="13"/>
  <c r="W16" i="12" l="1"/>
  <c r="W9" i="12"/>
  <c r="W8" i="12"/>
  <c r="W6" i="12"/>
  <c r="V20" i="14"/>
  <c r="U20" i="14"/>
  <c r="R20" i="14"/>
  <c r="Q20" i="14"/>
  <c r="N20" i="14"/>
  <c r="AS20" i="14"/>
  <c r="AO20" i="14"/>
  <c r="AK20" i="14"/>
  <c r="AG20" i="14"/>
  <c r="AC20" i="14"/>
  <c r="Y20" i="14"/>
  <c r="M20" i="14"/>
  <c r="J20" i="14"/>
  <c r="G20" i="14"/>
  <c r="D20" i="14"/>
  <c r="AD6" i="13" l="1"/>
  <c r="AA6" i="13"/>
  <c r="X6" i="13"/>
  <c r="U6" i="13"/>
  <c r="R6" i="13"/>
  <c r="O6" i="13"/>
  <c r="I6" i="13"/>
  <c r="G6" i="13"/>
  <c r="E6" i="13"/>
  <c r="C8" i="13"/>
  <c r="C6" i="13"/>
  <c r="AA20" i="13"/>
  <c r="X20" i="13"/>
  <c r="P20" i="13"/>
  <c r="O20" i="13"/>
  <c r="J20" i="13"/>
  <c r="I20" i="13"/>
  <c r="C20" i="13"/>
  <c r="M20" i="13"/>
  <c r="AG20" i="13"/>
  <c r="AD20" i="13"/>
  <c r="U20" i="13"/>
  <c r="R20" i="13"/>
  <c r="L20" i="13"/>
  <c r="G20" i="13"/>
  <c r="E20" i="13"/>
  <c r="V6" i="12"/>
  <c r="U16" i="12"/>
  <c r="O9" i="11"/>
  <c r="O8" i="11"/>
  <c r="O6" i="11"/>
  <c r="T6" i="12"/>
  <c r="S16" i="12"/>
  <c r="R6" i="12"/>
  <c r="Q16" i="12"/>
  <c r="P6" i="12"/>
  <c r="O16" i="12"/>
  <c r="N6" i="12"/>
  <c r="M16" i="12"/>
  <c r="L6" i="12"/>
  <c r="D20" i="12"/>
  <c r="E20" i="12"/>
  <c r="F20" i="12"/>
  <c r="G20" i="12"/>
  <c r="H20" i="12"/>
  <c r="I20" i="12"/>
  <c r="J20" i="12"/>
  <c r="K20" i="12"/>
  <c r="L20" i="12"/>
  <c r="N20" i="12"/>
  <c r="P20" i="12"/>
  <c r="R20" i="12"/>
  <c r="T20" i="12"/>
  <c r="V20" i="12"/>
  <c r="C20" i="12"/>
  <c r="K16" i="12"/>
  <c r="J6" i="12"/>
  <c r="I16" i="12"/>
  <c r="H6" i="12"/>
  <c r="F6" i="12"/>
  <c r="N6" i="11"/>
  <c r="M6" i="11"/>
  <c r="L6" i="11"/>
  <c r="K6" i="11"/>
  <c r="J6" i="11"/>
  <c r="C6" i="12"/>
  <c r="E6" i="12"/>
  <c r="D6" i="12"/>
  <c r="Q8" i="11"/>
  <c r="Q9" i="11"/>
  <c r="Q6" i="11"/>
  <c r="N8" i="11"/>
  <c r="M8" i="11"/>
  <c r="L8" i="11"/>
  <c r="K8" i="11"/>
  <c r="J8" i="11"/>
  <c r="I6" i="11"/>
  <c r="E6" i="11"/>
  <c r="I8" i="11"/>
  <c r="H6" i="11"/>
  <c r="H8" i="11"/>
  <c r="F8" i="11"/>
  <c r="G8" i="11"/>
  <c r="G6" i="11"/>
  <c r="F6" i="11"/>
  <c r="E8" i="11"/>
  <c r="D8" i="11"/>
  <c r="D6" i="11"/>
  <c r="C8" i="11"/>
  <c r="C6" i="11"/>
  <c r="C9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N8" i="10"/>
  <c r="N6" i="10"/>
  <c r="M9" i="10"/>
  <c r="M6" i="10"/>
  <c r="L8" i="10"/>
  <c r="L6" i="10"/>
  <c r="K8" i="10"/>
  <c r="K6" i="10"/>
  <c r="J8" i="10"/>
  <c r="J6" i="10"/>
  <c r="I8" i="10"/>
  <c r="I6" i="10"/>
  <c r="H8" i="10"/>
  <c r="H6" i="10"/>
  <c r="G8" i="10"/>
  <c r="G6" i="10"/>
  <c r="F8" i="10"/>
  <c r="F6" i="10"/>
  <c r="E8" i="10"/>
  <c r="E6" i="10"/>
  <c r="D8" i="10"/>
  <c r="D6" i="10"/>
  <c r="C8" i="10"/>
  <c r="C6" i="10"/>
  <c r="K12" i="10"/>
  <c r="J12" i="10"/>
  <c r="I12" i="10"/>
  <c r="H12" i="10"/>
  <c r="G12" i="10"/>
  <c r="F12" i="10"/>
  <c r="E12" i="10"/>
  <c r="D12" i="10"/>
  <c r="C12" i="10"/>
  <c r="N12" i="10"/>
  <c r="M12" i="10"/>
  <c r="L12" i="10"/>
  <c r="N8" i="9"/>
  <c r="N6" i="9"/>
  <c r="M8" i="9"/>
  <c r="M6" i="9"/>
  <c r="L8" i="9"/>
  <c r="L6" i="9"/>
  <c r="J12" i="9"/>
  <c r="I12" i="9"/>
  <c r="G12" i="9"/>
  <c r="N12" i="9"/>
  <c r="M12" i="9"/>
  <c r="L12" i="9"/>
  <c r="K12" i="9"/>
  <c r="H12" i="9"/>
  <c r="F12" i="9"/>
  <c r="E12" i="9"/>
  <c r="D12" i="9"/>
  <c r="C12" i="9"/>
  <c r="N12" i="8"/>
  <c r="M12" i="8"/>
  <c r="L12" i="8"/>
  <c r="K12" i="8"/>
  <c r="J12" i="8"/>
  <c r="I12" i="8"/>
  <c r="H12" i="8"/>
  <c r="G12" i="8"/>
  <c r="F12" i="8"/>
  <c r="E12" i="8"/>
  <c r="D12" i="8"/>
  <c r="C12" i="8"/>
  <c r="C12" i="7"/>
  <c r="D12" i="7"/>
  <c r="E12" i="7"/>
  <c r="G12" i="7"/>
  <c r="H12" i="7"/>
  <c r="I12" i="7"/>
  <c r="J12" i="7"/>
  <c r="K12" i="7"/>
  <c r="L12" i="7"/>
  <c r="M12" i="7"/>
  <c r="N12" i="7"/>
  <c r="F12" i="7"/>
  <c r="C11" i="6"/>
  <c r="C12" i="6"/>
  <c r="N11" i="6"/>
  <c r="N12" i="6"/>
  <c r="M11" i="6"/>
  <c r="M12" i="6"/>
  <c r="L11" i="6"/>
  <c r="L12" i="6"/>
  <c r="K11" i="6"/>
  <c r="K12" i="6"/>
  <c r="J11" i="6"/>
  <c r="J12" i="6"/>
  <c r="I11" i="6"/>
  <c r="I12" i="6"/>
  <c r="H11" i="6"/>
  <c r="H12" i="6"/>
  <c r="G11" i="6"/>
  <c r="G12" i="6"/>
  <c r="F11" i="6"/>
  <c r="F12" i="6"/>
  <c r="E11" i="6"/>
  <c r="E12" i="6"/>
  <c r="D11" i="6"/>
  <c r="D12" i="6"/>
  <c r="C11" i="5"/>
  <c r="C12" i="5"/>
  <c r="N11" i="5"/>
  <c r="N12" i="5"/>
  <c r="M11" i="5"/>
  <c r="M12" i="5"/>
  <c r="L11" i="5"/>
  <c r="L12" i="5"/>
  <c r="K11" i="5"/>
  <c r="K12" i="5"/>
  <c r="J11" i="5"/>
  <c r="J12" i="5"/>
  <c r="I11" i="5"/>
  <c r="I12" i="5"/>
  <c r="H11" i="5"/>
  <c r="H12" i="5"/>
  <c r="G11" i="5"/>
  <c r="G12" i="5"/>
  <c r="F11" i="5"/>
  <c r="F12" i="5"/>
  <c r="E11" i="5"/>
  <c r="E12" i="5"/>
  <c r="D11" i="5"/>
  <c r="D12" i="5"/>
</calcChain>
</file>

<file path=xl/sharedStrings.xml><?xml version="1.0" encoding="utf-8"?>
<sst xmlns="http://schemas.openxmlformats.org/spreadsheetml/2006/main" count="326" uniqueCount="38">
  <si>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</si>
  <si>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</si>
  <si>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</si>
  <si>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</si>
  <si>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</si>
  <si>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</si>
  <si>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</si>
  <si>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</si>
  <si>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</si>
  <si>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</si>
  <si>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</si>
  <si>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</si>
  <si>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</si>
  <si>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</si>
  <si>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</si>
  <si>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</si>
  <si>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</si>
  <si>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</si>
  <si>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</si>
  <si>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Прочие потребители, кВтч</t>
  </si>
  <si>
    <t>Население, кВтч</t>
  </si>
  <si>
    <t>ВН1</t>
  </si>
  <si>
    <t>Информация о фактическом полезном отпуске электрической энергии (мощности) потребителям ООО "РУСЭНЕРГОСБЫТ" в границах Республики Чувашия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</si>
  <si>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Республики Чувашия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</si>
  <si>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Республики Чувашия в разрезе ТСО за 2015 год</t>
  </si>
  <si>
    <t xml:space="preserve">ОАО "МРСК Волги" филиал "Чувашэнерго" </t>
  </si>
  <si>
    <t>Информация о фактическом полезном отпуске электрической энергии (мощности) потребителям ООО "РУСЭНЕРГОСБЫТ" в границах Республики Чувашия в разрезе ТСО за 2016 год</t>
  </si>
  <si>
    <t xml:space="preserve">ПАО "МРСК Волги" филиал "Чувашэнерго" </t>
  </si>
  <si>
    <t>Информация о фактическом полезном отпуске электрической энергии (мощности) потребителям ООО "РУСЭНЕРГОСБЫТ" в границах Республики Чувашия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</si>
  <si>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Республики Чувашия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</si>
  <si>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Республики Чувашия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</si>
  <si>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Республики Чувашия в разрезе ТСО за 2020 год</t>
  </si>
  <si>
    <t>ОАО "Канашские городские электрические сети"</t>
  </si>
  <si>
    <t xml:space="preserve">филиал ПАО «Россети Волга» - "Чувашэнерго" </t>
  </si>
  <si>
    <t>Информация о фактическом полезном отпуске электрической энергии (мощности) потребителям ООО "РУСЭНЕРГОСБЫТ" в границах Республики Чувашия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</si>
  <si>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Республики Чувашия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</si>
  <si>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Республики Чувашия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</si>
  <si>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Республики Чувашия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</si>
</sst>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3" fontId="5" fillId="0" borderId="0" xfId="0" applyNumberFormat="1" applyFont="1"/>
    <xf numFmtId="3" fontId="6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B22" sqref="B2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1" t="s">
        <v>25</v>
      </c>
      <c r="B4" s="24" t="s">
        <v>19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4" ht="22.5" customHeight="1" x14ac:dyDescent="0.25">
      <c r="A5" s="22"/>
      <c r="B5" s="5" t="s">
        <v>14</v>
      </c>
      <c r="C5" s="3">
        <v>18556316</v>
      </c>
      <c r="D5" s="3">
        <v>16968030</v>
      </c>
      <c r="E5" s="3">
        <v>18966162</v>
      </c>
      <c r="F5" s="3">
        <v>16603913</v>
      </c>
      <c r="G5" s="3">
        <v>16618214</v>
      </c>
      <c r="H5" s="3">
        <v>17992780</v>
      </c>
      <c r="I5" s="3">
        <v>17682398</v>
      </c>
      <c r="J5" s="3">
        <v>17621365</v>
      </c>
      <c r="K5" s="3">
        <v>16496015</v>
      </c>
      <c r="L5" s="3">
        <v>19077995</v>
      </c>
      <c r="M5" s="3">
        <v>18093028</v>
      </c>
      <c r="N5" s="3">
        <v>20214566</v>
      </c>
    </row>
    <row r="6" spans="1:14" ht="22.5" customHeight="1" x14ac:dyDescent="0.25">
      <c r="A6" s="22"/>
      <c r="B6" s="5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22"/>
      <c r="B7" s="5" t="s">
        <v>16</v>
      </c>
      <c r="C7" s="3">
        <v>270</v>
      </c>
      <c r="D7" s="3">
        <v>2205</v>
      </c>
      <c r="E7" s="3">
        <v>2415</v>
      </c>
      <c r="F7" s="3">
        <v>1785</v>
      </c>
      <c r="G7" s="3">
        <v>1320</v>
      </c>
      <c r="H7" s="3">
        <v>660</v>
      </c>
      <c r="I7" s="3">
        <v>450</v>
      </c>
      <c r="J7" s="3">
        <v>750</v>
      </c>
      <c r="K7" s="3">
        <v>1275</v>
      </c>
      <c r="L7" s="3">
        <v>3855</v>
      </c>
      <c r="M7" s="3">
        <v>4635</v>
      </c>
      <c r="N7" s="3">
        <v>7065</v>
      </c>
    </row>
    <row r="8" spans="1:14" ht="22.5" customHeight="1" x14ac:dyDescent="0.25">
      <c r="A8" s="22"/>
      <c r="B8" s="5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22"/>
      <c r="B9" s="24" t="s">
        <v>20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6"/>
    </row>
    <row r="10" spans="1:14" ht="22.5" customHeight="1" x14ac:dyDescent="0.25">
      <c r="A10" s="22"/>
      <c r="B10" s="4"/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</row>
    <row r="11" spans="1:14" ht="30.75" customHeight="1" x14ac:dyDescent="0.25">
      <c r="A11" s="23"/>
      <c r="B11" s="6" t="s">
        <v>18</v>
      </c>
      <c r="C11" s="3">
        <f t="shared" ref="C11:N11" si="0">SUM(C5:C8,C10)</f>
        <v>18556586</v>
      </c>
      <c r="D11" s="3">
        <f t="shared" si="0"/>
        <v>16970235</v>
      </c>
      <c r="E11" s="3">
        <f t="shared" si="0"/>
        <v>18968577</v>
      </c>
      <c r="F11" s="3">
        <f t="shared" si="0"/>
        <v>16605698</v>
      </c>
      <c r="G11" s="3">
        <f t="shared" si="0"/>
        <v>16619534</v>
      </c>
      <c r="H11" s="3">
        <f t="shared" si="0"/>
        <v>17993440</v>
      </c>
      <c r="I11" s="3">
        <f t="shared" si="0"/>
        <v>17682848</v>
      </c>
      <c r="J11" s="3">
        <f t="shared" si="0"/>
        <v>17622115</v>
      </c>
      <c r="K11" s="3">
        <f t="shared" si="0"/>
        <v>16497290</v>
      </c>
      <c r="L11" s="3">
        <f t="shared" si="0"/>
        <v>19081850</v>
      </c>
      <c r="M11" s="3">
        <f t="shared" si="0"/>
        <v>18097663</v>
      </c>
      <c r="N11" s="3">
        <f t="shared" si="0"/>
        <v>20221631</v>
      </c>
    </row>
    <row r="12" spans="1:14" ht="22.5" customHeight="1" x14ac:dyDescent="0.25">
      <c r="A12" s="27" t="s">
        <v>18</v>
      </c>
      <c r="B12" s="28"/>
      <c r="C12" s="10">
        <f>C11</f>
        <v>18556586</v>
      </c>
      <c r="D12" s="10">
        <f t="shared" ref="D12:N12" si="1">D11</f>
        <v>16970235</v>
      </c>
      <c r="E12" s="10">
        <f t="shared" si="1"/>
        <v>18968577</v>
      </c>
      <c r="F12" s="10">
        <f t="shared" si="1"/>
        <v>16605698</v>
      </c>
      <c r="G12" s="10">
        <f t="shared" si="1"/>
        <v>16619534</v>
      </c>
      <c r="H12" s="10">
        <f t="shared" si="1"/>
        <v>17993440</v>
      </c>
      <c r="I12" s="10">
        <f t="shared" si="1"/>
        <v>17682848</v>
      </c>
      <c r="J12" s="10">
        <f t="shared" si="1"/>
        <v>17622115</v>
      </c>
      <c r="K12" s="10">
        <f t="shared" si="1"/>
        <v>16497290</v>
      </c>
      <c r="L12" s="10">
        <f t="shared" si="1"/>
        <v>19081850</v>
      </c>
      <c r="M12" s="10">
        <f t="shared" si="1"/>
        <v>18097663</v>
      </c>
      <c r="N12" s="10">
        <f t="shared" si="1"/>
        <v>20221631</v>
      </c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20"/>
  <sheetViews>
    <sheetView zoomScale="7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T6" sqref="AT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19.85546875" style="1" customWidth="1"/>
    <col min="5" max="6" width="19.85546875" style="1" hidden="1" customWidth="1"/>
    <col min="7" max="7" width="19.85546875" style="1" customWidth="1"/>
    <col min="8" max="9" width="19.85546875" style="1" hidden="1" customWidth="1"/>
    <col min="10" max="10" width="19.85546875" style="1" customWidth="1"/>
    <col min="11" max="12" width="19.85546875" style="1" hidden="1" customWidth="1"/>
    <col min="13" max="13" width="19.85546875" style="1" customWidth="1"/>
    <col min="14" max="16" width="19.85546875" style="1" hidden="1" customWidth="1"/>
    <col min="17" max="17" width="19.85546875" style="1" customWidth="1"/>
    <col min="18" max="20" width="19.85546875" style="1" hidden="1" customWidth="1"/>
    <col min="21" max="21" width="19.85546875" style="1" customWidth="1"/>
    <col min="22" max="24" width="19.85546875" style="1" hidden="1" customWidth="1"/>
    <col min="25" max="25" width="19.85546875" style="1" customWidth="1"/>
    <col min="26" max="28" width="19.85546875" style="1" hidden="1" customWidth="1"/>
    <col min="29" max="29" width="19.85546875" style="1" customWidth="1"/>
    <col min="30" max="32" width="19.85546875" style="1" hidden="1" customWidth="1"/>
    <col min="33" max="33" width="19.85546875" style="1" customWidth="1"/>
    <col min="34" max="36" width="19.85546875" style="1" hidden="1" customWidth="1"/>
    <col min="37" max="37" width="19.85546875" style="1" customWidth="1"/>
    <col min="38" max="40" width="19.85546875" style="1" hidden="1" customWidth="1"/>
    <col min="41" max="41" width="19.85546875" style="1" customWidth="1"/>
    <col min="42" max="44" width="19.85546875" style="1" hidden="1" customWidth="1"/>
    <col min="45" max="45" width="19.85546875" style="1" customWidth="1"/>
    <col min="46" max="46" width="9.140625" style="14"/>
    <col min="47" max="16384" width="9.140625" style="1"/>
  </cols>
  <sheetData>
    <row r="2" spans="1:46" ht="42.75" customHeight="1" x14ac:dyDescent="0.25">
      <c r="A2" s="20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</row>
    <row r="3" spans="1:46" s="2" customFormat="1" ht="33" customHeight="1" x14ac:dyDescent="0.25">
      <c r="A3" s="7" t="s">
        <v>0</v>
      </c>
      <c r="B3" s="8" t="s">
        <v>1</v>
      </c>
      <c r="C3" s="8"/>
      <c r="D3" s="9" t="s">
        <v>2</v>
      </c>
      <c r="E3" s="9"/>
      <c r="F3" s="9"/>
      <c r="G3" s="9" t="s">
        <v>3</v>
      </c>
      <c r="H3" s="9"/>
      <c r="I3" s="9"/>
      <c r="J3" s="9" t="s">
        <v>4</v>
      </c>
      <c r="K3" s="9"/>
      <c r="L3" s="9"/>
      <c r="M3" s="9" t="s">
        <v>5</v>
      </c>
      <c r="N3" s="9"/>
      <c r="O3" s="9"/>
      <c r="P3" s="9"/>
      <c r="Q3" s="9" t="s">
        <v>6</v>
      </c>
      <c r="R3" s="9"/>
      <c r="S3" s="9"/>
      <c r="T3" s="9"/>
      <c r="U3" s="9" t="s">
        <v>7</v>
      </c>
      <c r="V3" s="9"/>
      <c r="W3" s="9"/>
      <c r="X3" s="9"/>
      <c r="Y3" s="9" t="s">
        <v>8</v>
      </c>
      <c r="Z3" s="9"/>
      <c r="AA3" s="9"/>
      <c r="AB3" s="9"/>
      <c r="AC3" s="9" t="s">
        <v>9</v>
      </c>
      <c r="AD3" s="9"/>
      <c r="AE3" s="9"/>
      <c r="AF3" s="9"/>
      <c r="AG3" s="9" t="s">
        <v>10</v>
      </c>
      <c r="AH3" s="9"/>
      <c r="AI3" s="9"/>
      <c r="AJ3" s="9"/>
      <c r="AK3" s="9" t="s">
        <v>11</v>
      </c>
      <c r="AL3" s="9"/>
      <c r="AM3" s="9"/>
      <c r="AN3" s="9"/>
      <c r="AO3" s="9" t="s">
        <v>12</v>
      </c>
      <c r="AP3" s="9"/>
      <c r="AQ3" s="9"/>
      <c r="AR3" s="9"/>
      <c r="AS3" s="9" t="s">
        <v>13</v>
      </c>
      <c r="AT3" s="15"/>
    </row>
    <row r="4" spans="1:46" ht="22.5" customHeight="1" x14ac:dyDescent="0.25">
      <c r="A4" s="21" t="s">
        <v>33</v>
      </c>
      <c r="B4" s="24" t="s">
        <v>19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6"/>
    </row>
    <row r="5" spans="1:46" ht="22.5" customHeight="1" x14ac:dyDescent="0.25">
      <c r="A5" s="22"/>
      <c r="B5" s="5" t="s">
        <v>21</v>
      </c>
      <c r="C5" s="5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6" ht="22.5" customHeight="1" x14ac:dyDescent="0.25">
      <c r="A6" s="22"/>
      <c r="B6" s="5" t="s">
        <v>14</v>
      </c>
      <c r="C6" s="5">
        <v>0.84620594322947262</v>
      </c>
      <c r="D6" s="18">
        <f>14253968+418379+573143</f>
        <v>15245490</v>
      </c>
      <c r="E6" s="3"/>
      <c r="F6" s="3">
        <v>0.95097380473015136</v>
      </c>
      <c r="G6" s="3">
        <f>11809389+711865+426387</f>
        <v>12947641</v>
      </c>
      <c r="H6" s="3"/>
      <c r="I6" s="3">
        <v>1.2627777985534272</v>
      </c>
      <c r="J6" s="3">
        <f>15378040+615488+403344</f>
        <v>16396872</v>
      </c>
      <c r="K6" s="3"/>
      <c r="L6" s="3">
        <v>0.85953218599535752</v>
      </c>
      <c r="M6" s="3">
        <f>13480222+582296+269024</f>
        <v>14331542</v>
      </c>
      <c r="N6" s="3"/>
      <c r="O6" s="3"/>
      <c r="P6" s="3">
        <v>1.0739862880905473</v>
      </c>
      <c r="Q6" s="18">
        <f>12593248+483550+184500</f>
        <v>13261298</v>
      </c>
      <c r="R6" s="3"/>
      <c r="S6" s="3"/>
      <c r="T6" s="3">
        <v>0.85973722162791433</v>
      </c>
      <c r="U6" s="3">
        <f>12068664+603354+172661</f>
        <v>12844679</v>
      </c>
      <c r="V6" s="3"/>
      <c r="W6" s="3"/>
      <c r="X6" s="3">
        <v>1.0230116607910742</v>
      </c>
      <c r="Y6" s="18">
        <f>13929380+581655+220722</f>
        <v>14731757</v>
      </c>
      <c r="Z6" s="3"/>
      <c r="AA6" s="3"/>
      <c r="AB6" s="3">
        <v>1.0653607602185793</v>
      </c>
      <c r="AC6" s="3">
        <f>15350505+599728+178708</f>
        <v>16128941</v>
      </c>
      <c r="AD6" s="3"/>
      <c r="AE6" s="3"/>
      <c r="AF6" s="3">
        <v>1.0391042309429042</v>
      </c>
      <c r="AG6" s="3">
        <f>12885224+700588+208868</f>
        <v>13794680</v>
      </c>
      <c r="AH6" s="3"/>
      <c r="AI6" s="3"/>
      <c r="AJ6" s="3">
        <v>1.1459478869024426</v>
      </c>
      <c r="AK6" s="3">
        <f>13474323+696445+322584</f>
        <v>14493352</v>
      </c>
      <c r="AL6" s="3"/>
      <c r="AM6" s="3"/>
      <c r="AN6" s="3">
        <v>1.0865741559480993</v>
      </c>
      <c r="AO6" s="3">
        <f>14686106+744438+443395</f>
        <v>15873939</v>
      </c>
      <c r="AP6" s="3"/>
      <c r="AQ6" s="3"/>
      <c r="AR6" s="3">
        <v>0.94133859999605607</v>
      </c>
      <c r="AS6" s="3">
        <f>14061611+846034+458110</f>
        <v>15365755</v>
      </c>
    </row>
    <row r="7" spans="1:46" ht="22.5" customHeight="1" x14ac:dyDescent="0.25">
      <c r="A7" s="22"/>
      <c r="B7" s="5" t="s">
        <v>15</v>
      </c>
      <c r="C7" s="5"/>
      <c r="D7" s="18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7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17"/>
      <c r="AL7" s="3"/>
      <c r="AM7" s="3"/>
      <c r="AN7" s="3"/>
      <c r="AO7" s="3"/>
      <c r="AP7" s="3"/>
      <c r="AQ7" s="3"/>
      <c r="AR7" s="3"/>
      <c r="AS7" s="18"/>
    </row>
    <row r="8" spans="1:46" ht="22.5" customHeight="1" x14ac:dyDescent="0.25">
      <c r="A8" s="22"/>
      <c r="B8" s="5" t="s">
        <v>16</v>
      </c>
      <c r="C8" s="5">
        <v>1.0759162478094675</v>
      </c>
      <c r="D8" s="18">
        <v>396865</v>
      </c>
      <c r="E8" s="3"/>
      <c r="F8" s="3">
        <v>1.0476143290952142</v>
      </c>
      <c r="G8" s="18">
        <v>321401</v>
      </c>
      <c r="H8" s="3"/>
      <c r="I8" s="3">
        <v>0.75457458254347975</v>
      </c>
      <c r="J8" s="3">
        <v>345745</v>
      </c>
      <c r="K8" s="3"/>
      <c r="L8" s="3">
        <v>0.665502833416029</v>
      </c>
      <c r="M8" s="3">
        <v>230436</v>
      </c>
      <c r="N8" s="3"/>
      <c r="O8" s="3"/>
      <c r="P8" s="3">
        <v>0.54925620288729049</v>
      </c>
      <c r="Q8" s="18">
        <v>169488</v>
      </c>
      <c r="R8" s="3"/>
      <c r="S8" s="3"/>
      <c r="T8" s="3">
        <v>0.66527115943789161</v>
      </c>
      <c r="U8" s="3">
        <v>69987</v>
      </c>
      <c r="V8" s="3"/>
      <c r="W8" s="3"/>
      <c r="X8" s="3">
        <v>0.9815936426116838</v>
      </c>
      <c r="Y8" s="3">
        <v>94728</v>
      </c>
      <c r="Z8" s="3"/>
      <c r="AA8" s="3"/>
      <c r="AB8" s="3">
        <v>0.82583200227556175</v>
      </c>
      <c r="AC8" s="3">
        <v>107913</v>
      </c>
      <c r="AD8" s="3"/>
      <c r="AE8" s="3"/>
      <c r="AF8" s="3">
        <v>2.4550645152743553</v>
      </c>
      <c r="AG8" s="3">
        <v>135940</v>
      </c>
      <c r="AH8" s="3"/>
      <c r="AI8" s="3"/>
      <c r="AJ8" s="3">
        <v>1.2890466914522212</v>
      </c>
      <c r="AK8" s="18">
        <v>220823</v>
      </c>
      <c r="AL8" s="3"/>
      <c r="AM8" s="3"/>
      <c r="AN8" s="3">
        <v>1.1859391351668132</v>
      </c>
      <c r="AO8" s="18">
        <v>289852</v>
      </c>
      <c r="AP8" s="3"/>
      <c r="AQ8" s="3"/>
      <c r="AR8" s="3">
        <v>1.145078342022315</v>
      </c>
      <c r="AS8" s="18">
        <v>312314</v>
      </c>
    </row>
    <row r="9" spans="1:46" ht="22.5" customHeight="1" x14ac:dyDescent="0.25">
      <c r="A9" s="22"/>
      <c r="B9" s="5" t="s">
        <v>17</v>
      </c>
      <c r="C9" s="5">
        <v>5.9366963402571713</v>
      </c>
      <c r="D9" s="18">
        <v>1227</v>
      </c>
      <c r="E9" s="3"/>
      <c r="F9" s="3">
        <v>0.13628790403198934</v>
      </c>
      <c r="G9" s="18">
        <v>1109</v>
      </c>
      <c r="H9" s="3"/>
      <c r="I9" s="3">
        <v>0.79706601466992666</v>
      </c>
      <c r="J9" s="3">
        <v>364</v>
      </c>
      <c r="K9" s="3"/>
      <c r="L9" s="3">
        <v>2.1058282208588959</v>
      </c>
      <c r="M9" s="3">
        <v>1826</v>
      </c>
      <c r="N9" s="3"/>
      <c r="O9" s="3"/>
      <c r="P9" s="3">
        <v>0.68900218499635835</v>
      </c>
      <c r="Q9" s="18">
        <v>821</v>
      </c>
      <c r="R9" s="3"/>
      <c r="S9" s="3"/>
      <c r="T9" s="3">
        <v>0.7431289640591966</v>
      </c>
      <c r="U9" s="3">
        <v>930</v>
      </c>
      <c r="V9" s="3"/>
      <c r="W9" s="3"/>
      <c r="X9" s="3">
        <v>0.4879089615931721</v>
      </c>
      <c r="Y9" s="3">
        <v>682</v>
      </c>
      <c r="Z9" s="3"/>
      <c r="AA9" s="3"/>
      <c r="AB9" s="3">
        <v>1.5043731778425655</v>
      </c>
      <c r="AC9" s="3">
        <v>282</v>
      </c>
      <c r="AD9" s="3"/>
      <c r="AE9" s="3"/>
      <c r="AF9" s="3">
        <v>2.0329457364341086</v>
      </c>
      <c r="AG9" s="3">
        <v>727</v>
      </c>
      <c r="AH9" s="3"/>
      <c r="AI9" s="3"/>
      <c r="AJ9" s="3">
        <v>0.97807435653002861</v>
      </c>
      <c r="AK9" s="18">
        <v>758</v>
      </c>
      <c r="AL9" s="3"/>
      <c r="AM9" s="3"/>
      <c r="AN9" s="3">
        <v>0.79824561403508776</v>
      </c>
      <c r="AO9" s="18">
        <v>1637</v>
      </c>
      <c r="AP9" s="3"/>
      <c r="AQ9" s="3"/>
      <c r="AR9" s="3">
        <v>0.88522588522588519</v>
      </c>
      <c r="AS9" s="18">
        <v>438</v>
      </c>
    </row>
    <row r="10" spans="1:46" ht="22.5" customHeight="1" x14ac:dyDescent="0.25">
      <c r="A10" s="22"/>
      <c r="B10" s="24" t="s">
        <v>20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6"/>
    </row>
    <row r="11" spans="1:46" ht="22.5" customHeight="1" x14ac:dyDescent="0.25">
      <c r="A11" s="23"/>
      <c r="B11" s="4"/>
      <c r="C11" s="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</row>
    <row r="12" spans="1:46" ht="22.5" customHeight="1" x14ac:dyDescent="0.25">
      <c r="A12" s="21" t="s">
        <v>32</v>
      </c>
      <c r="B12" s="24" t="s">
        <v>19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6"/>
    </row>
    <row r="13" spans="1:46" ht="22.5" customHeight="1" x14ac:dyDescent="0.25">
      <c r="A13" s="22"/>
      <c r="B13" s="5" t="s">
        <v>21</v>
      </c>
      <c r="C13" s="5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6" ht="22.5" customHeight="1" x14ac:dyDescent="0.25">
      <c r="A14" s="22"/>
      <c r="B14" s="5" t="s">
        <v>14</v>
      </c>
      <c r="C14" s="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6" ht="22.5" customHeight="1" x14ac:dyDescent="0.25">
      <c r="A15" s="22"/>
      <c r="B15" s="5" t="s">
        <v>15</v>
      </c>
      <c r="C15" s="5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6" ht="22.5" customHeight="1" x14ac:dyDescent="0.25">
      <c r="A16" s="22"/>
      <c r="B16" s="5" t="s">
        <v>16</v>
      </c>
      <c r="C16" s="5">
        <v>0.53703703703703709</v>
      </c>
      <c r="D16" s="3">
        <v>735</v>
      </c>
      <c r="E16" s="3"/>
      <c r="F16" s="3">
        <v>1.3448275862068966</v>
      </c>
      <c r="G16" s="3">
        <v>600</v>
      </c>
      <c r="H16" s="3"/>
      <c r="I16" s="3">
        <v>0.74358974358974361</v>
      </c>
      <c r="J16" s="3">
        <v>540</v>
      </c>
      <c r="K16" s="3"/>
      <c r="L16" s="3">
        <v>0.62068965517241381</v>
      </c>
      <c r="M16" s="3">
        <v>390</v>
      </c>
      <c r="N16" s="3"/>
      <c r="O16" s="3"/>
      <c r="P16" s="3">
        <v>0.44444444444444442</v>
      </c>
      <c r="Q16" s="3">
        <v>240</v>
      </c>
      <c r="R16" s="3"/>
      <c r="S16" s="3"/>
      <c r="T16" s="3">
        <v>0.375</v>
      </c>
      <c r="U16" s="3">
        <v>75</v>
      </c>
      <c r="V16" s="3"/>
      <c r="W16" s="3"/>
      <c r="X16" s="3">
        <v>1</v>
      </c>
      <c r="Y16" s="3">
        <v>60</v>
      </c>
      <c r="Z16" s="3"/>
      <c r="AA16" s="3"/>
      <c r="AB16" s="3">
        <v>1.6666666666666667</v>
      </c>
      <c r="AC16" s="3">
        <v>60</v>
      </c>
      <c r="AD16" s="3"/>
      <c r="AE16" s="3"/>
      <c r="AF16" s="3">
        <v>3.2</v>
      </c>
      <c r="AG16" s="3">
        <v>180</v>
      </c>
      <c r="AH16" s="3"/>
      <c r="AI16" s="3"/>
      <c r="AJ16" s="3">
        <v>1.3125</v>
      </c>
      <c r="AK16" s="3">
        <v>330</v>
      </c>
      <c r="AL16" s="3"/>
      <c r="AM16" s="3"/>
      <c r="AN16" s="3">
        <v>1.5238095238095237</v>
      </c>
      <c r="AO16" s="3">
        <v>255</v>
      </c>
      <c r="AP16" s="3"/>
      <c r="AQ16" s="3"/>
      <c r="AR16" s="3">
        <v>1.15625</v>
      </c>
      <c r="AS16" s="3">
        <v>615</v>
      </c>
    </row>
    <row r="17" spans="1:45" ht="22.5" customHeight="1" x14ac:dyDescent="0.25">
      <c r="A17" s="22"/>
      <c r="B17" s="5" t="s">
        <v>17</v>
      </c>
      <c r="C17" s="5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22.5" customHeight="1" x14ac:dyDescent="0.25">
      <c r="A18" s="22"/>
      <c r="B18" s="24" t="s">
        <v>20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6"/>
    </row>
    <row r="19" spans="1:45" ht="22.5" customHeight="1" x14ac:dyDescent="0.25">
      <c r="A19" s="23"/>
      <c r="B19" s="4"/>
      <c r="C19" s="4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</row>
    <row r="20" spans="1:45" ht="22.5" customHeight="1" x14ac:dyDescent="0.25">
      <c r="A20" s="27" t="s">
        <v>18</v>
      </c>
      <c r="B20" s="28"/>
      <c r="C20" s="19"/>
      <c r="D20" s="10">
        <f>SUM(D5:D9,D11,D13:D17)</f>
        <v>15644317</v>
      </c>
      <c r="E20" s="10"/>
      <c r="F20" s="10"/>
      <c r="G20" s="10">
        <f t="shared" ref="G20:AS20" si="0">SUM(G5:G9,G11,G13:G17)</f>
        <v>13270751</v>
      </c>
      <c r="H20" s="10"/>
      <c r="I20" s="10"/>
      <c r="J20" s="10">
        <f t="shared" si="0"/>
        <v>16743521</v>
      </c>
      <c r="K20" s="10"/>
      <c r="L20" s="10"/>
      <c r="M20" s="10">
        <f t="shared" si="0"/>
        <v>14564194</v>
      </c>
      <c r="N20" s="10">
        <f t="shared" si="0"/>
        <v>0</v>
      </c>
      <c r="O20" s="10"/>
      <c r="P20" s="10"/>
      <c r="Q20" s="10">
        <f t="shared" si="0"/>
        <v>13431847</v>
      </c>
      <c r="R20" s="10">
        <f t="shared" si="0"/>
        <v>0</v>
      </c>
      <c r="S20" s="10"/>
      <c r="T20" s="10"/>
      <c r="U20" s="10">
        <f t="shared" si="0"/>
        <v>12915671</v>
      </c>
      <c r="V20" s="10">
        <f t="shared" si="0"/>
        <v>0</v>
      </c>
      <c r="W20" s="10"/>
      <c r="X20" s="10"/>
      <c r="Y20" s="10">
        <f t="shared" si="0"/>
        <v>14827227</v>
      </c>
      <c r="Z20" s="10"/>
      <c r="AA20" s="10"/>
      <c r="AB20" s="10"/>
      <c r="AC20" s="10">
        <f t="shared" si="0"/>
        <v>16237196</v>
      </c>
      <c r="AD20" s="10"/>
      <c r="AE20" s="10"/>
      <c r="AF20" s="10"/>
      <c r="AG20" s="10">
        <f t="shared" si="0"/>
        <v>13931527</v>
      </c>
      <c r="AH20" s="10"/>
      <c r="AI20" s="10"/>
      <c r="AJ20" s="10"/>
      <c r="AK20" s="10">
        <f t="shared" si="0"/>
        <v>14715263</v>
      </c>
      <c r="AL20" s="10"/>
      <c r="AM20" s="10"/>
      <c r="AN20" s="10"/>
      <c r="AO20" s="10">
        <f t="shared" si="0"/>
        <v>16165683</v>
      </c>
      <c r="AP20" s="10"/>
      <c r="AQ20" s="10"/>
      <c r="AR20" s="10"/>
      <c r="AS20" s="10">
        <f t="shared" si="0"/>
        <v>15679122</v>
      </c>
    </row>
  </sheetData>
  <mergeCells count="8">
    <mergeCell ref="A20:B20"/>
    <mergeCell ref="A2:AS2"/>
    <mergeCell ref="A4:A11"/>
    <mergeCell ref="B4:AS4"/>
    <mergeCell ref="B10:AS10"/>
    <mergeCell ref="A12:A19"/>
    <mergeCell ref="B12:AS12"/>
    <mergeCell ref="B18:AS1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zoomScale="70" zoomScaleNormal="70" workbookViewId="0">
      <pane xSplit="2" ySplit="3" topLeftCell="M4" activePane="bottomRight" state="frozen"/>
      <selection pane="topRight" activeCell="E1" sqref="E1"/>
      <selection pane="bottomLeft" activeCell="A4" sqref="A4"/>
      <selection pane="bottomRight" activeCell="N6" sqref="N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9.85546875" style="1" customWidth="1"/>
    <col min="15" max="16384" width="9.140625" style="1"/>
  </cols>
  <sheetData>
    <row r="2" spans="1:14" ht="42.75" customHeight="1" x14ac:dyDescent="0.25">
      <c r="A2" s="20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1" t="s">
        <v>33</v>
      </c>
      <c r="B4" s="24" t="s">
        <v>19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4" ht="22.5" customHeight="1" x14ac:dyDescent="0.25">
      <c r="A5" s="22"/>
      <c r="B5" s="5" t="s">
        <v>21</v>
      </c>
      <c r="C5" s="11"/>
      <c r="D5" s="11"/>
      <c r="E5" s="11"/>
      <c r="F5" s="11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2"/>
      <c r="B6" s="5" t="s">
        <v>14</v>
      </c>
      <c r="C6" s="3">
        <f>14606678+549616+545819</f>
        <v>15702113</v>
      </c>
      <c r="D6" s="3">
        <f>12817333+686594+438561</f>
        <v>13942488</v>
      </c>
      <c r="E6" s="3">
        <f>15244379+715188+48069</f>
        <v>16007636</v>
      </c>
      <c r="F6" s="3">
        <f>13834917+573405+27703</f>
        <v>14436025</v>
      </c>
      <c r="G6" s="18">
        <f>13520140+459406+12840+4825</f>
        <v>13997211</v>
      </c>
      <c r="H6" s="18">
        <f>12495130+565150+7080+3533</f>
        <v>13070893</v>
      </c>
      <c r="I6" s="18">
        <f>14021196+4800+2794</f>
        <v>14028790</v>
      </c>
      <c r="J6" s="18">
        <f>13854516+7320+3269</f>
        <v>13865105</v>
      </c>
      <c r="K6" s="3">
        <f>12704080+11160+3861</f>
        <v>12719101</v>
      </c>
      <c r="L6" s="3">
        <f>12499131+23731+8758</f>
        <v>12531620</v>
      </c>
      <c r="M6" s="3">
        <f>13685607+30282+11928</f>
        <v>13727817</v>
      </c>
      <c r="N6" s="3">
        <f>13498599+39552+14028</f>
        <v>13552179</v>
      </c>
    </row>
    <row r="7" spans="1:14" ht="22.5" customHeight="1" x14ac:dyDescent="0.25">
      <c r="A7" s="22"/>
      <c r="B7" s="5" t="s">
        <v>15</v>
      </c>
      <c r="C7" s="18"/>
      <c r="D7" s="18"/>
      <c r="E7" s="3"/>
      <c r="F7" s="3"/>
      <c r="G7" s="17"/>
      <c r="H7" s="17"/>
      <c r="I7" s="17"/>
      <c r="J7" s="17"/>
      <c r="K7" s="3"/>
      <c r="L7" s="3"/>
      <c r="M7" s="3"/>
      <c r="N7" s="18"/>
    </row>
    <row r="8" spans="1:14" ht="22.5" customHeight="1" x14ac:dyDescent="0.25">
      <c r="A8" s="22"/>
      <c r="B8" s="5" t="s">
        <v>16</v>
      </c>
      <c r="C8" s="18">
        <f>340120+645</f>
        <v>340765</v>
      </c>
      <c r="D8" s="18">
        <f>295165+540</f>
        <v>295705</v>
      </c>
      <c r="E8" s="18">
        <f>105436+169563+405</f>
        <v>275404</v>
      </c>
      <c r="F8" s="18">
        <f>63660+85281+285</f>
        <v>149226</v>
      </c>
      <c r="G8" s="18">
        <f>48553+105+64992</f>
        <v>113650</v>
      </c>
      <c r="H8" s="18">
        <f>15056+120+40055</f>
        <v>55231</v>
      </c>
      <c r="I8" s="18">
        <f>24196+58353</f>
        <v>82549</v>
      </c>
      <c r="J8" s="18">
        <f>30678+45582</f>
        <v>76260</v>
      </c>
      <c r="K8" s="3">
        <f>19710+60025</f>
        <v>79735</v>
      </c>
      <c r="L8" s="3">
        <f>66645+115768</f>
        <v>182413</v>
      </c>
      <c r="M8" s="3">
        <f>78981+155308</f>
        <v>234289</v>
      </c>
      <c r="N8" s="3">
        <f>154774+188143</f>
        <v>342917</v>
      </c>
    </row>
    <row r="9" spans="1:14" ht="22.5" customHeight="1" x14ac:dyDescent="0.25">
      <c r="A9" s="22"/>
      <c r="B9" s="5" t="s">
        <v>17</v>
      </c>
      <c r="C9" s="18">
        <v>1344</v>
      </c>
      <c r="D9" s="18">
        <v>412</v>
      </c>
      <c r="E9" s="3">
        <v>751</v>
      </c>
      <c r="F9" s="3">
        <v>686</v>
      </c>
      <c r="G9" s="18">
        <v>272</v>
      </c>
      <c r="H9" s="18">
        <v>1339</v>
      </c>
      <c r="I9" s="18">
        <v>1353</v>
      </c>
      <c r="J9" s="18">
        <v>295</v>
      </c>
      <c r="K9" s="3">
        <v>479</v>
      </c>
      <c r="L9" s="3">
        <v>1007</v>
      </c>
      <c r="M9" s="3">
        <v>1793</v>
      </c>
      <c r="N9" s="18">
        <v>824</v>
      </c>
    </row>
    <row r="10" spans="1:14" ht="22.5" customHeight="1" x14ac:dyDescent="0.25">
      <c r="A10" s="22"/>
      <c r="B10" s="24" t="s">
        <v>20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</row>
    <row r="11" spans="1:14" ht="22.5" customHeight="1" x14ac:dyDescent="0.25">
      <c r="A11" s="23"/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22.5" hidden="1" customHeight="1" x14ac:dyDescent="0.25">
      <c r="A12" s="21"/>
      <c r="B12" s="24" t="s">
        <v>19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</row>
    <row r="13" spans="1:14" ht="22.5" hidden="1" customHeight="1" x14ac:dyDescent="0.25">
      <c r="A13" s="22"/>
      <c r="B13" s="5" t="s">
        <v>21</v>
      </c>
      <c r="C13" s="11"/>
      <c r="D13" s="11"/>
      <c r="E13" s="11"/>
      <c r="F13" s="11"/>
      <c r="G13" s="3"/>
      <c r="H13" s="3"/>
      <c r="I13" s="3"/>
      <c r="J13" s="3"/>
      <c r="K13" s="3"/>
      <c r="L13" s="3"/>
      <c r="M13" s="3"/>
      <c r="N13" s="3"/>
    </row>
    <row r="14" spans="1:14" ht="22.5" hidden="1" customHeight="1" x14ac:dyDescent="0.25">
      <c r="A14" s="22"/>
      <c r="B14" s="5" t="s">
        <v>14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5" hidden="1" customHeight="1" x14ac:dyDescent="0.25">
      <c r="A15" s="22"/>
      <c r="B15" s="5" t="s">
        <v>15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22.5" hidden="1" customHeight="1" x14ac:dyDescent="0.25">
      <c r="A16" s="22"/>
      <c r="B16" s="5" t="s">
        <v>16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2.5" hidden="1" customHeight="1" x14ac:dyDescent="0.25">
      <c r="A17" s="22"/>
      <c r="B17" s="5" t="s">
        <v>17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2.5" hidden="1" customHeight="1" x14ac:dyDescent="0.25">
      <c r="A18" s="22"/>
      <c r="B18" s="24" t="s">
        <v>20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</row>
    <row r="19" spans="1:14" ht="22.5" hidden="1" customHeight="1" x14ac:dyDescent="0.25">
      <c r="A19" s="23"/>
      <c r="B19" s="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22.5" customHeight="1" x14ac:dyDescent="0.25">
      <c r="A20" s="27" t="s">
        <v>18</v>
      </c>
      <c r="B20" s="28"/>
      <c r="C20" s="10">
        <f>SUM(C5:C9,C11,C13:C17)</f>
        <v>16044222</v>
      </c>
      <c r="D20" s="10">
        <f t="shared" ref="D20:N20" si="0">SUM(D5:D9,D11,D13:D17)</f>
        <v>14238605</v>
      </c>
      <c r="E20" s="10">
        <f t="shared" si="0"/>
        <v>16283791</v>
      </c>
      <c r="F20" s="10">
        <f t="shared" si="0"/>
        <v>14585937</v>
      </c>
      <c r="G20" s="10">
        <f t="shared" si="0"/>
        <v>14111133</v>
      </c>
      <c r="H20" s="10">
        <f t="shared" si="0"/>
        <v>13127463</v>
      </c>
      <c r="I20" s="10">
        <f t="shared" si="0"/>
        <v>14112692</v>
      </c>
      <c r="J20" s="10">
        <f t="shared" si="0"/>
        <v>13941660</v>
      </c>
      <c r="K20" s="10">
        <f t="shared" si="0"/>
        <v>12799315</v>
      </c>
      <c r="L20" s="10">
        <f t="shared" si="0"/>
        <v>12715040</v>
      </c>
      <c r="M20" s="10">
        <f t="shared" si="0"/>
        <v>13963899</v>
      </c>
      <c r="N20" s="10">
        <f t="shared" si="0"/>
        <v>13895920</v>
      </c>
    </row>
  </sheetData>
  <mergeCells count="8">
    <mergeCell ref="A20:B20"/>
    <mergeCell ref="A2:N2"/>
    <mergeCell ref="A4:A11"/>
    <mergeCell ref="B4:N4"/>
    <mergeCell ref="B10:N10"/>
    <mergeCell ref="A12:A19"/>
    <mergeCell ref="B12:N12"/>
    <mergeCell ref="B18:N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tabSelected="1" zoomScale="89" zoomScaleNormal="89" workbookViewId="0">
      <pane xSplit="2" ySplit="3" topLeftCell="L4" activePane="bottomRight" state="frozen"/>
      <selection pane="topRight" activeCell="E1" sqref="E1"/>
      <selection pane="bottomLeft" activeCell="A4" sqref="A4"/>
      <selection pane="bottomRight" activeCell="M7" sqref="M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9.85546875" style="1" customWidth="1"/>
    <col min="15" max="16384" width="9.140625" style="1"/>
  </cols>
  <sheetData>
    <row r="2" spans="1:14" ht="42.75" customHeight="1" x14ac:dyDescent="0.25">
      <c r="A2" s="20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1" t="s">
        <v>33</v>
      </c>
      <c r="B4" s="24" t="s">
        <v>19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4" ht="22.5" customHeight="1" x14ac:dyDescent="0.25">
      <c r="A5" s="22"/>
      <c r="B5" s="5" t="s">
        <v>21</v>
      </c>
      <c r="C5" s="11"/>
      <c r="D5" s="11"/>
      <c r="E5" s="11"/>
      <c r="F5" s="11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2"/>
      <c r="B6" s="5" t="s">
        <v>14</v>
      </c>
      <c r="C6" s="3">
        <f>12443440+29540+14978</f>
        <v>12487958</v>
      </c>
      <c r="D6" s="3">
        <f>10883644+52901+12601</f>
        <v>10949146</v>
      </c>
      <c r="E6" s="3">
        <f>13237839+33496+10675</f>
        <v>13282010</v>
      </c>
      <c r="F6" s="3">
        <f>12109367+25709+6519</f>
        <v>12141595</v>
      </c>
      <c r="G6" s="18">
        <f>12053073+23040+4733</f>
        <v>12080846</v>
      </c>
      <c r="H6" s="18">
        <f>11579574+7200+2891</f>
        <v>11589665</v>
      </c>
      <c r="I6" s="18">
        <f>11893503+7680+2151</f>
        <v>11903334</v>
      </c>
      <c r="J6" s="18">
        <f>12803803+8640+2550</f>
        <v>12814993</v>
      </c>
      <c r="K6" s="3">
        <f>11651634+11880+3199</f>
        <v>11666713</v>
      </c>
      <c r="L6" s="3">
        <f>11289925+23855+6505</f>
        <v>11320285</v>
      </c>
      <c r="M6" s="3">
        <f>12620174+31024+9886</f>
        <v>12661084</v>
      </c>
      <c r="N6" s="3">
        <f>14394735+32507+10046</f>
        <v>14437288</v>
      </c>
    </row>
    <row r="7" spans="1:14" ht="22.5" customHeight="1" x14ac:dyDescent="0.25">
      <c r="A7" s="22"/>
      <c r="B7" s="5" t="s">
        <v>15</v>
      </c>
      <c r="C7" s="18"/>
      <c r="D7" s="18"/>
      <c r="E7" s="3"/>
      <c r="F7" s="3"/>
      <c r="G7" s="17"/>
      <c r="H7" s="17"/>
      <c r="I7" s="17"/>
      <c r="J7" s="17"/>
      <c r="K7" s="3"/>
      <c r="L7" s="3"/>
      <c r="M7" s="3"/>
      <c r="N7" s="18"/>
    </row>
    <row r="8" spans="1:14" ht="22.5" customHeight="1" x14ac:dyDescent="0.25">
      <c r="A8" s="22"/>
      <c r="B8" s="5" t="s">
        <v>16</v>
      </c>
      <c r="C8" s="18">
        <f>164355+216737</f>
        <v>381092</v>
      </c>
      <c r="D8" s="18">
        <f>141942+1077+197589</f>
        <v>340608</v>
      </c>
      <c r="E8" s="18">
        <f>109653+137075+4663+15240</f>
        <v>266631</v>
      </c>
      <c r="F8" s="18">
        <f>61050+84461+19300</f>
        <v>164811</v>
      </c>
      <c r="G8" s="18">
        <f>34691+77644+2943+15560</f>
        <v>130838</v>
      </c>
      <c r="H8" s="18">
        <f>13839+43528+110+16720</f>
        <v>74197</v>
      </c>
      <c r="I8" s="18">
        <f>24790+31722+17680+725</f>
        <v>74917</v>
      </c>
      <c r="J8" s="18">
        <f>24092+49772+15960+143</f>
        <v>89967</v>
      </c>
      <c r="K8" s="3">
        <f>19261+45226+1556+15720</f>
        <v>81763</v>
      </c>
      <c r="L8" s="3">
        <f>49303+113459+17280+4913</f>
        <v>184955</v>
      </c>
      <c r="M8" s="3">
        <f>94374+107751+6032+17120</f>
        <v>225277</v>
      </c>
      <c r="N8" s="3">
        <f>127795+112405+5479+16400</f>
        <v>262079</v>
      </c>
    </row>
    <row r="9" spans="1:14" ht="22.5" customHeight="1" x14ac:dyDescent="0.25">
      <c r="A9" s="22"/>
      <c r="B9" s="5" t="s">
        <v>17</v>
      </c>
      <c r="C9" s="18">
        <v>437</v>
      </c>
      <c r="D9" s="18">
        <f>256+102</f>
        <v>358</v>
      </c>
      <c r="E9" s="3">
        <f>248+102</f>
        <v>350</v>
      </c>
      <c r="F9" s="3">
        <f>715+192</f>
        <v>907</v>
      </c>
      <c r="G9" s="18">
        <v>432</v>
      </c>
      <c r="H9" s="18">
        <v>955</v>
      </c>
      <c r="I9" s="18">
        <v>273</v>
      </c>
      <c r="J9" s="18">
        <v>625</v>
      </c>
      <c r="K9" s="3">
        <v>336</v>
      </c>
      <c r="L9" s="3">
        <v>326</v>
      </c>
      <c r="M9" s="3">
        <v>280</v>
      </c>
      <c r="N9" s="18">
        <v>2333</v>
      </c>
    </row>
    <row r="10" spans="1:14" ht="22.5" customHeight="1" x14ac:dyDescent="0.25">
      <c r="A10" s="22"/>
      <c r="B10" s="24" t="s">
        <v>20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</row>
    <row r="11" spans="1:14" ht="22.5" customHeight="1" x14ac:dyDescent="0.25">
      <c r="A11" s="23"/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22.5" hidden="1" customHeight="1" x14ac:dyDescent="0.25">
      <c r="A12" s="21"/>
      <c r="B12" s="24" t="s">
        <v>19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</row>
    <row r="13" spans="1:14" ht="22.5" hidden="1" customHeight="1" x14ac:dyDescent="0.25">
      <c r="A13" s="22"/>
      <c r="B13" s="5" t="s">
        <v>21</v>
      </c>
      <c r="C13" s="11"/>
      <c r="D13" s="11"/>
      <c r="E13" s="11"/>
      <c r="F13" s="11"/>
      <c r="G13" s="3"/>
      <c r="H13" s="3"/>
      <c r="I13" s="3"/>
      <c r="J13" s="3"/>
      <c r="K13" s="3"/>
      <c r="L13" s="3"/>
      <c r="M13" s="3"/>
      <c r="N13" s="3"/>
    </row>
    <row r="14" spans="1:14" ht="22.5" hidden="1" customHeight="1" x14ac:dyDescent="0.25">
      <c r="A14" s="22"/>
      <c r="B14" s="5" t="s">
        <v>14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5" hidden="1" customHeight="1" x14ac:dyDescent="0.25">
      <c r="A15" s="22"/>
      <c r="B15" s="5" t="s">
        <v>15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22.5" hidden="1" customHeight="1" x14ac:dyDescent="0.25">
      <c r="A16" s="22"/>
      <c r="B16" s="5" t="s">
        <v>16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2.5" hidden="1" customHeight="1" x14ac:dyDescent="0.25">
      <c r="A17" s="22"/>
      <c r="B17" s="5" t="s">
        <v>17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2.5" hidden="1" customHeight="1" x14ac:dyDescent="0.25">
      <c r="A18" s="22"/>
      <c r="B18" s="24" t="s">
        <v>20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</row>
    <row r="19" spans="1:14" ht="22.5" hidden="1" customHeight="1" x14ac:dyDescent="0.25">
      <c r="A19" s="23"/>
      <c r="B19" s="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22.5" customHeight="1" x14ac:dyDescent="0.25">
      <c r="A20" s="27" t="s">
        <v>18</v>
      </c>
      <c r="B20" s="28"/>
      <c r="C20" s="10">
        <f>SUM(C5:C9,C11,C13:C17)</f>
        <v>12869487</v>
      </c>
      <c r="D20" s="10">
        <f t="shared" ref="D20:N20" si="0">SUM(D5:D9,D11,D13:D17)</f>
        <v>11290112</v>
      </c>
      <c r="E20" s="10">
        <f t="shared" si="0"/>
        <v>13548991</v>
      </c>
      <c r="F20" s="10">
        <f t="shared" si="0"/>
        <v>12307313</v>
      </c>
      <c r="G20" s="10">
        <f t="shared" si="0"/>
        <v>12212116</v>
      </c>
      <c r="H20" s="10">
        <f t="shared" si="0"/>
        <v>11664817</v>
      </c>
      <c r="I20" s="10">
        <f t="shared" si="0"/>
        <v>11978524</v>
      </c>
      <c r="J20" s="10">
        <f t="shared" si="0"/>
        <v>12905585</v>
      </c>
      <c r="K20" s="10">
        <f t="shared" si="0"/>
        <v>11748812</v>
      </c>
      <c r="L20" s="10">
        <f t="shared" si="0"/>
        <v>11505566</v>
      </c>
      <c r="M20" s="10">
        <f t="shared" si="0"/>
        <v>12886641</v>
      </c>
      <c r="N20" s="10">
        <f t="shared" si="0"/>
        <v>14701700</v>
      </c>
    </row>
  </sheetData>
  <mergeCells count="8">
    <mergeCell ref="A20:B20"/>
    <mergeCell ref="A2:N2"/>
    <mergeCell ref="A4:A11"/>
    <mergeCell ref="B4:N4"/>
    <mergeCell ref="B10:N10"/>
    <mergeCell ref="A12:A19"/>
    <mergeCell ref="B12:N12"/>
    <mergeCell ref="B18:N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topLeftCell="C1" workbookViewId="0">
      <selection activeCell="C12" sqref="C12:N1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1" t="s">
        <v>25</v>
      </c>
      <c r="B4" s="24" t="s">
        <v>19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4" ht="22.5" customHeight="1" x14ac:dyDescent="0.25">
      <c r="A5" s="22"/>
      <c r="B5" s="5" t="s">
        <v>14</v>
      </c>
      <c r="C5" s="3">
        <v>18816932</v>
      </c>
      <c r="D5" s="3">
        <v>19285048</v>
      </c>
      <c r="E5" s="3">
        <v>19537489</v>
      </c>
      <c r="F5" s="3">
        <v>17219625</v>
      </c>
      <c r="G5" s="3">
        <v>16105170</v>
      </c>
      <c r="H5" s="3">
        <v>17754282</v>
      </c>
      <c r="I5" s="3">
        <v>18218130</v>
      </c>
      <c r="J5" s="3">
        <v>19001279</v>
      </c>
      <c r="K5" s="3">
        <v>19451350</v>
      </c>
      <c r="L5" s="3">
        <v>20804830</v>
      </c>
      <c r="M5" s="3">
        <v>21498894</v>
      </c>
      <c r="N5" s="3">
        <v>21560248</v>
      </c>
    </row>
    <row r="6" spans="1:14" ht="22.5" customHeight="1" x14ac:dyDescent="0.25">
      <c r="A6" s="22"/>
      <c r="B6" s="5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22"/>
      <c r="B7" s="5" t="s">
        <v>16</v>
      </c>
      <c r="C7" s="3">
        <v>8325</v>
      </c>
      <c r="D7" s="3">
        <v>15720</v>
      </c>
      <c r="E7" s="3">
        <v>10890</v>
      </c>
      <c r="F7" s="3">
        <v>9480</v>
      </c>
      <c r="G7" s="3">
        <v>1665</v>
      </c>
      <c r="H7" s="3">
        <v>690</v>
      </c>
      <c r="I7" s="3">
        <v>900</v>
      </c>
      <c r="J7" s="3">
        <v>630</v>
      </c>
      <c r="K7" s="3">
        <v>1410</v>
      </c>
      <c r="L7" s="3">
        <v>4050</v>
      </c>
      <c r="M7" s="3">
        <v>4170</v>
      </c>
      <c r="N7" s="3">
        <v>14985</v>
      </c>
    </row>
    <row r="8" spans="1:14" ht="22.5" customHeight="1" x14ac:dyDescent="0.25">
      <c r="A8" s="22"/>
      <c r="B8" s="5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22"/>
      <c r="B9" s="24" t="s">
        <v>20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6"/>
    </row>
    <row r="10" spans="1:14" ht="22.5" customHeight="1" x14ac:dyDescent="0.25">
      <c r="A10" s="22"/>
      <c r="B10" s="4"/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</row>
    <row r="11" spans="1:14" ht="30.75" customHeight="1" x14ac:dyDescent="0.25">
      <c r="A11" s="23"/>
      <c r="B11" s="6" t="s">
        <v>18</v>
      </c>
      <c r="C11" s="3">
        <f t="shared" ref="C11:N11" si="0">SUM(C5:C8,C10)</f>
        <v>18825257</v>
      </c>
      <c r="D11" s="3">
        <f t="shared" si="0"/>
        <v>19300768</v>
      </c>
      <c r="E11" s="3">
        <f t="shared" si="0"/>
        <v>19548379</v>
      </c>
      <c r="F11" s="3">
        <f t="shared" si="0"/>
        <v>17229105</v>
      </c>
      <c r="G11" s="3">
        <f t="shared" si="0"/>
        <v>16106835</v>
      </c>
      <c r="H11" s="3">
        <f t="shared" si="0"/>
        <v>17754972</v>
      </c>
      <c r="I11" s="3">
        <f t="shared" si="0"/>
        <v>18219030</v>
      </c>
      <c r="J11" s="3">
        <f t="shared" si="0"/>
        <v>19001909</v>
      </c>
      <c r="K11" s="3">
        <f t="shared" si="0"/>
        <v>19452760</v>
      </c>
      <c r="L11" s="3">
        <f t="shared" si="0"/>
        <v>20808880</v>
      </c>
      <c r="M11" s="3">
        <f t="shared" si="0"/>
        <v>21503064</v>
      </c>
      <c r="N11" s="3">
        <f t="shared" si="0"/>
        <v>21575233</v>
      </c>
    </row>
    <row r="12" spans="1:14" ht="22.5" customHeight="1" x14ac:dyDescent="0.25">
      <c r="A12" s="27" t="s">
        <v>18</v>
      </c>
      <c r="B12" s="28"/>
      <c r="C12" s="10">
        <f>C11</f>
        <v>18825257</v>
      </c>
      <c r="D12" s="10">
        <f t="shared" ref="D12:M12" si="1">D11</f>
        <v>19300768</v>
      </c>
      <c r="E12" s="10">
        <f t="shared" si="1"/>
        <v>19548379</v>
      </c>
      <c r="F12" s="10">
        <f t="shared" si="1"/>
        <v>17229105</v>
      </c>
      <c r="G12" s="10">
        <f t="shared" si="1"/>
        <v>16106835</v>
      </c>
      <c r="H12" s="10">
        <f t="shared" si="1"/>
        <v>17754972</v>
      </c>
      <c r="I12" s="10">
        <f t="shared" si="1"/>
        <v>18219030</v>
      </c>
      <c r="J12" s="10">
        <f>J11</f>
        <v>19001909</v>
      </c>
      <c r="K12" s="10">
        <f t="shared" si="1"/>
        <v>19452760</v>
      </c>
      <c r="L12" s="10">
        <f>L11</f>
        <v>20808880</v>
      </c>
      <c r="M12" s="10">
        <f t="shared" si="1"/>
        <v>21503064</v>
      </c>
      <c r="N12" s="10">
        <f>N11</f>
        <v>21575233</v>
      </c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1" t="s">
        <v>25</v>
      </c>
      <c r="B4" s="24" t="s">
        <v>19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4" ht="22.5" customHeight="1" x14ac:dyDescent="0.25">
      <c r="A5" s="22"/>
      <c r="B5" s="5" t="s">
        <v>21</v>
      </c>
      <c r="C5" s="11"/>
      <c r="D5" s="11"/>
      <c r="E5" s="11"/>
      <c r="F5" s="11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2"/>
      <c r="B6" s="5" t="s">
        <v>14</v>
      </c>
      <c r="C6" s="3">
        <v>18804458</v>
      </c>
      <c r="D6" s="3">
        <v>16712622</v>
      </c>
      <c r="E6" s="3">
        <v>18750555</v>
      </c>
      <c r="F6" s="3">
        <v>15923793</v>
      </c>
      <c r="G6" s="3">
        <v>17996141</v>
      </c>
      <c r="H6" s="3">
        <v>15794277</v>
      </c>
      <c r="I6" s="3">
        <v>14576393</v>
      </c>
      <c r="J6" s="3">
        <v>15533068</v>
      </c>
      <c r="K6" s="3">
        <v>16810960</v>
      </c>
      <c r="L6" s="3">
        <v>17034798</v>
      </c>
      <c r="M6" s="3">
        <v>18618544</v>
      </c>
      <c r="N6" s="3">
        <v>17973361</v>
      </c>
    </row>
    <row r="7" spans="1:14" ht="22.5" customHeight="1" x14ac:dyDescent="0.25">
      <c r="A7" s="22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22"/>
      <c r="B8" s="5" t="s">
        <v>16</v>
      </c>
      <c r="C8" s="3">
        <v>10560</v>
      </c>
      <c r="D8" s="3">
        <v>2625</v>
      </c>
      <c r="E8" s="3">
        <v>885</v>
      </c>
      <c r="F8" s="3">
        <v>735</v>
      </c>
      <c r="G8" s="3">
        <v>360</v>
      </c>
      <c r="H8" s="3">
        <v>75</v>
      </c>
      <c r="I8" s="3">
        <v>120</v>
      </c>
      <c r="J8" s="3">
        <v>165</v>
      </c>
      <c r="K8" s="3">
        <v>195</v>
      </c>
      <c r="L8" s="3">
        <v>540</v>
      </c>
      <c r="M8" s="3">
        <v>570</v>
      </c>
      <c r="N8" s="3">
        <v>585</v>
      </c>
    </row>
    <row r="9" spans="1:14" ht="22.5" customHeight="1" x14ac:dyDescent="0.25">
      <c r="A9" s="22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22"/>
      <c r="B10" s="24" t="s">
        <v>20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</row>
    <row r="11" spans="1:14" ht="22.5" customHeight="1" x14ac:dyDescent="0.25">
      <c r="A11" s="23"/>
      <c r="B11" s="4"/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3"/>
      <c r="N11" s="3"/>
    </row>
    <row r="12" spans="1:14" ht="22.5" customHeight="1" x14ac:dyDescent="0.25">
      <c r="A12" s="27" t="s">
        <v>18</v>
      </c>
      <c r="B12" s="28"/>
      <c r="C12" s="10">
        <f t="shared" ref="C12:N12" si="0">SUM(C5:C9,C11)</f>
        <v>18815018</v>
      </c>
      <c r="D12" s="10">
        <f t="shared" si="0"/>
        <v>16715247</v>
      </c>
      <c r="E12" s="10">
        <f t="shared" si="0"/>
        <v>18751440</v>
      </c>
      <c r="F12" s="10">
        <f t="shared" si="0"/>
        <v>15924528</v>
      </c>
      <c r="G12" s="10">
        <f t="shared" si="0"/>
        <v>17996501</v>
      </c>
      <c r="H12" s="10">
        <f t="shared" si="0"/>
        <v>15794352</v>
      </c>
      <c r="I12" s="10">
        <f t="shared" si="0"/>
        <v>14576513</v>
      </c>
      <c r="J12" s="10">
        <f t="shared" si="0"/>
        <v>15533233</v>
      </c>
      <c r="K12" s="10">
        <f t="shared" si="0"/>
        <v>16811155</v>
      </c>
      <c r="L12" s="10">
        <f t="shared" si="0"/>
        <v>17035338</v>
      </c>
      <c r="M12" s="10">
        <f t="shared" si="0"/>
        <v>18619114</v>
      </c>
      <c r="N12" s="10">
        <f t="shared" si="0"/>
        <v>17973946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zoomScale="70" zoomScaleNormal="70" workbookViewId="0">
      <selection activeCell="E35" sqref="E3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0" t="s">
        <v>26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1" t="s">
        <v>27</v>
      </c>
      <c r="B4" s="24" t="s">
        <v>19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4" ht="22.5" customHeight="1" x14ac:dyDescent="0.25">
      <c r="A5" s="22"/>
      <c r="B5" s="5" t="s">
        <v>21</v>
      </c>
      <c r="C5" s="11"/>
      <c r="D5" s="11"/>
      <c r="E5" s="11"/>
      <c r="F5" s="11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2"/>
      <c r="B6" s="5" t="s">
        <v>14</v>
      </c>
      <c r="C6" s="3">
        <v>14619871</v>
      </c>
      <c r="D6" s="3">
        <v>15119995.000000002</v>
      </c>
      <c r="E6" s="3">
        <v>15239507.999999998</v>
      </c>
      <c r="F6" s="3">
        <v>13601270</v>
      </c>
      <c r="G6" s="3">
        <v>14790371</v>
      </c>
      <c r="H6" s="3">
        <v>17099638</v>
      </c>
      <c r="I6" s="3">
        <v>16661977</v>
      </c>
      <c r="J6" s="3">
        <v>17878789</v>
      </c>
      <c r="K6" s="3">
        <v>16472941.000000002</v>
      </c>
      <c r="L6" s="3">
        <v>18634083.000000004</v>
      </c>
      <c r="M6" s="3">
        <v>17820297</v>
      </c>
      <c r="N6" s="3">
        <v>20012308.999999996</v>
      </c>
    </row>
    <row r="7" spans="1:14" ht="22.5" customHeight="1" x14ac:dyDescent="0.25">
      <c r="A7" s="22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22"/>
      <c r="B8" s="5" t="s">
        <v>16</v>
      </c>
      <c r="C8" s="3">
        <v>795</v>
      </c>
      <c r="D8" s="3">
        <v>600</v>
      </c>
      <c r="E8" s="3">
        <v>570</v>
      </c>
      <c r="F8" s="3">
        <v>330</v>
      </c>
      <c r="G8" s="3">
        <v>150</v>
      </c>
      <c r="H8" s="3">
        <v>105</v>
      </c>
      <c r="I8" s="3">
        <v>105</v>
      </c>
      <c r="J8" s="3">
        <v>75</v>
      </c>
      <c r="K8" s="3">
        <v>210</v>
      </c>
      <c r="L8" s="3">
        <v>390</v>
      </c>
      <c r="M8" s="3">
        <v>630</v>
      </c>
      <c r="N8" s="3">
        <v>675</v>
      </c>
    </row>
    <row r="9" spans="1:14" ht="22.5" customHeight="1" x14ac:dyDescent="0.25">
      <c r="A9" s="22"/>
      <c r="B9" s="5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25">
      <c r="A10" s="22"/>
      <c r="B10" s="24" t="s">
        <v>20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</row>
    <row r="11" spans="1:14" ht="22.5" customHeight="1" x14ac:dyDescent="0.25">
      <c r="A11" s="23"/>
      <c r="B11" s="4"/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</row>
    <row r="12" spans="1:14" ht="22.5" customHeight="1" x14ac:dyDescent="0.25">
      <c r="A12" s="27" t="s">
        <v>18</v>
      </c>
      <c r="B12" s="28"/>
      <c r="C12" s="10">
        <f t="shared" ref="C12:N12" si="0">SUM(C5:C9,C11)</f>
        <v>14620666</v>
      </c>
      <c r="D12" s="10">
        <f t="shared" si="0"/>
        <v>15120595.000000002</v>
      </c>
      <c r="E12" s="10">
        <f t="shared" si="0"/>
        <v>15240077.999999998</v>
      </c>
      <c r="F12" s="10">
        <f t="shared" si="0"/>
        <v>13601600</v>
      </c>
      <c r="G12" s="10">
        <f t="shared" si="0"/>
        <v>14790521</v>
      </c>
      <c r="H12" s="10">
        <f t="shared" si="0"/>
        <v>17099743</v>
      </c>
      <c r="I12" s="10">
        <f t="shared" si="0"/>
        <v>16662082</v>
      </c>
      <c r="J12" s="10">
        <f t="shared" si="0"/>
        <v>17878864</v>
      </c>
      <c r="K12" s="10">
        <f t="shared" si="0"/>
        <v>16473151.000000002</v>
      </c>
      <c r="L12" s="10">
        <f t="shared" si="0"/>
        <v>18634473.000000004</v>
      </c>
      <c r="M12" s="10">
        <f t="shared" si="0"/>
        <v>17820927</v>
      </c>
      <c r="N12" s="10">
        <f t="shared" si="0"/>
        <v>20012983.999999996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zoomScale="70" zoomScaleNormal="70" workbookViewId="0">
      <selection activeCell="J30" sqref="J3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0" t="s">
        <v>28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1" t="s">
        <v>27</v>
      </c>
      <c r="B4" s="24" t="s">
        <v>19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4" ht="22.5" customHeight="1" x14ac:dyDescent="0.25">
      <c r="A5" s="22"/>
      <c r="B5" s="5" t="s">
        <v>21</v>
      </c>
      <c r="C5" s="11"/>
      <c r="D5" s="11"/>
      <c r="E5" s="11"/>
      <c r="F5" s="11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2"/>
      <c r="B6" s="5" t="s">
        <v>14</v>
      </c>
      <c r="C6" s="3">
        <v>18150244</v>
      </c>
      <c r="D6" s="3">
        <v>17181991</v>
      </c>
      <c r="E6" s="3">
        <v>19863585</v>
      </c>
      <c r="F6" s="3">
        <v>16065579</v>
      </c>
      <c r="G6" s="3">
        <v>16617745</v>
      </c>
      <c r="H6" s="3">
        <v>15808128</v>
      </c>
      <c r="I6" s="3">
        <v>17066959</v>
      </c>
      <c r="J6" s="3">
        <v>18831304</v>
      </c>
      <c r="K6" s="3">
        <v>15702339</v>
      </c>
      <c r="L6" s="3">
        <f>16033484+343123</f>
        <v>16376607</v>
      </c>
      <c r="M6" s="3">
        <f>17065788+413136</f>
        <v>17478924</v>
      </c>
      <c r="N6" s="3">
        <f>18481402+534108</f>
        <v>19015510</v>
      </c>
    </row>
    <row r="7" spans="1:14" ht="22.5" customHeight="1" x14ac:dyDescent="0.25">
      <c r="A7" s="22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22"/>
      <c r="B8" s="5" t="s">
        <v>16</v>
      </c>
      <c r="C8" s="3">
        <v>468711</v>
      </c>
      <c r="D8" s="3">
        <v>372979</v>
      </c>
      <c r="E8" s="3">
        <v>317778</v>
      </c>
      <c r="F8" s="3">
        <v>295070</v>
      </c>
      <c r="G8" s="3">
        <v>159382</v>
      </c>
      <c r="H8" s="3">
        <v>138650</v>
      </c>
      <c r="I8" s="3">
        <v>122966</v>
      </c>
      <c r="J8" s="3">
        <v>111835</v>
      </c>
      <c r="K8" s="3">
        <v>161059</v>
      </c>
      <c r="L8" s="3">
        <f>375+234066</f>
        <v>234441</v>
      </c>
      <c r="M8" s="3">
        <f>585+301168</f>
        <v>301753</v>
      </c>
      <c r="N8" s="3">
        <f>630+401851</f>
        <v>402481</v>
      </c>
    </row>
    <row r="9" spans="1:14" ht="22.5" customHeight="1" x14ac:dyDescent="0.25">
      <c r="A9" s="22"/>
      <c r="B9" s="5" t="s">
        <v>17</v>
      </c>
      <c r="C9" s="3">
        <v>431</v>
      </c>
      <c r="D9" s="3">
        <v>1730</v>
      </c>
      <c r="E9" s="3">
        <v>1493</v>
      </c>
      <c r="F9" s="3">
        <v>192</v>
      </c>
      <c r="G9" s="3">
        <v>817</v>
      </c>
      <c r="H9" s="3">
        <v>2039.0000000000002</v>
      </c>
      <c r="I9" s="3">
        <v>963</v>
      </c>
      <c r="J9" s="3">
        <v>828</v>
      </c>
      <c r="K9" s="3">
        <v>377</v>
      </c>
      <c r="L9" s="3"/>
      <c r="M9" s="3">
        <v>280</v>
      </c>
      <c r="N9" s="3">
        <v>312</v>
      </c>
    </row>
    <row r="10" spans="1:14" ht="22.5" customHeight="1" x14ac:dyDescent="0.25">
      <c r="A10" s="22"/>
      <c r="B10" s="24" t="s">
        <v>20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</row>
    <row r="11" spans="1:14" ht="22.5" customHeight="1" x14ac:dyDescent="0.25">
      <c r="A11" s="23"/>
      <c r="B11" s="4"/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</row>
    <row r="12" spans="1:14" ht="22.5" customHeight="1" x14ac:dyDescent="0.25">
      <c r="A12" s="27" t="s">
        <v>18</v>
      </c>
      <c r="B12" s="28"/>
      <c r="C12" s="10">
        <f t="shared" ref="C12:N12" si="0">SUM(C5:C9,C11)</f>
        <v>18619386</v>
      </c>
      <c r="D12" s="10">
        <f t="shared" si="0"/>
        <v>17556700</v>
      </c>
      <c r="E12" s="10">
        <f t="shared" si="0"/>
        <v>20182856</v>
      </c>
      <c r="F12" s="10">
        <f t="shared" si="0"/>
        <v>16360841</v>
      </c>
      <c r="G12" s="10">
        <f t="shared" ref="G12" si="1">SUM(G5:G9,G11)</f>
        <v>16777944</v>
      </c>
      <c r="H12" s="10">
        <f t="shared" si="0"/>
        <v>15948817</v>
      </c>
      <c r="I12" s="10">
        <f t="shared" ref="I12:J12" si="2">SUM(I5:I9,I11)</f>
        <v>17190888</v>
      </c>
      <c r="J12" s="10">
        <f t="shared" si="2"/>
        <v>18943967</v>
      </c>
      <c r="K12" s="10">
        <f t="shared" si="0"/>
        <v>15863775</v>
      </c>
      <c r="L12" s="10">
        <f t="shared" si="0"/>
        <v>16611048</v>
      </c>
      <c r="M12" s="10">
        <f t="shared" si="0"/>
        <v>17780957</v>
      </c>
      <c r="N12" s="10">
        <f t="shared" si="0"/>
        <v>19418303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zoomScale="70" zoomScaleNormal="70" workbookViewId="0">
      <selection activeCell="H21" sqref="H2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1" t="s">
        <v>27</v>
      </c>
      <c r="B4" s="24" t="s">
        <v>19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4" ht="22.5" customHeight="1" x14ac:dyDescent="0.25">
      <c r="A5" s="22"/>
      <c r="B5" s="5" t="s">
        <v>21</v>
      </c>
      <c r="C5" s="11"/>
      <c r="D5" s="11"/>
      <c r="E5" s="11"/>
      <c r="F5" s="11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2"/>
      <c r="B6" s="5" t="s">
        <v>14</v>
      </c>
      <c r="C6" s="3">
        <f>16782527+529281</f>
        <v>17311808</v>
      </c>
      <c r="D6" s="3">
        <f>15718033+783669+504460</f>
        <v>17006162</v>
      </c>
      <c r="E6" s="3">
        <f>18197352+533109</f>
        <v>18730461</v>
      </c>
      <c r="F6" s="3">
        <f>16439333+667992+313106</f>
        <v>17420431</v>
      </c>
      <c r="G6" s="3">
        <f>19320529+184844</f>
        <v>19505373</v>
      </c>
      <c r="H6" s="3">
        <f>18353520+171890</f>
        <v>18525410</v>
      </c>
      <c r="I6" s="3">
        <f>16084938+180438</f>
        <v>16265376</v>
      </c>
      <c r="J6" s="3">
        <f>16302835+236294</f>
        <v>16539129</v>
      </c>
      <c r="K6" s="3">
        <f>14165652+215906</f>
        <v>14381558</v>
      </c>
      <c r="L6" s="3">
        <f>14354203+757650+341149</f>
        <v>15453002</v>
      </c>
      <c r="M6" s="3">
        <f>16170097+761860+430018</f>
        <v>17361975</v>
      </c>
      <c r="N6" s="3">
        <f>15447643+809248+510047</f>
        <v>16766938</v>
      </c>
    </row>
    <row r="7" spans="1:14" ht="22.5" customHeight="1" x14ac:dyDescent="0.25">
      <c r="A7" s="22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22"/>
      <c r="B8" s="5" t="s">
        <v>16</v>
      </c>
      <c r="C8" s="3">
        <f>690+438397</f>
        <v>439087</v>
      </c>
      <c r="D8" s="3">
        <f>645+345573</f>
        <v>346218</v>
      </c>
      <c r="E8" s="3">
        <f>510+375774</f>
        <v>376284</v>
      </c>
      <c r="F8" s="3">
        <f>390+234703</f>
        <v>235093</v>
      </c>
      <c r="G8" s="3">
        <f>60+111417</f>
        <v>111477</v>
      </c>
      <c r="H8" s="3">
        <f>60+118046</f>
        <v>118106</v>
      </c>
      <c r="I8" s="3">
        <f>30+102786</f>
        <v>102816</v>
      </c>
      <c r="J8" s="3">
        <f>15+105652</f>
        <v>105667</v>
      </c>
      <c r="K8" s="3">
        <f>45+141224</f>
        <v>141269</v>
      </c>
      <c r="L8" s="3">
        <f>285+238298</f>
        <v>238583</v>
      </c>
      <c r="M8" s="3">
        <v>328391</v>
      </c>
      <c r="N8" s="3">
        <f>885+458950</f>
        <v>459835</v>
      </c>
    </row>
    <row r="9" spans="1:14" ht="22.5" customHeight="1" x14ac:dyDescent="0.25">
      <c r="A9" s="22"/>
      <c r="B9" s="5" t="s">
        <v>17</v>
      </c>
      <c r="C9" s="3">
        <v>296</v>
      </c>
      <c r="D9" s="3">
        <v>453</v>
      </c>
      <c r="E9" s="3">
        <v>1026</v>
      </c>
      <c r="F9" s="3">
        <v>369</v>
      </c>
      <c r="G9" s="3">
        <v>456</v>
      </c>
      <c r="H9" s="3">
        <v>611</v>
      </c>
      <c r="I9" s="3">
        <v>597</v>
      </c>
      <c r="J9" s="3">
        <v>560</v>
      </c>
      <c r="K9" s="3">
        <v>626</v>
      </c>
      <c r="L9" s="3">
        <v>654</v>
      </c>
      <c r="M9" s="3">
        <f>630</f>
        <v>630</v>
      </c>
      <c r="N9" s="3">
        <v>1171</v>
      </c>
    </row>
    <row r="10" spans="1:14" ht="22.5" customHeight="1" x14ac:dyDescent="0.25">
      <c r="A10" s="22"/>
      <c r="B10" s="24" t="s">
        <v>20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</row>
    <row r="11" spans="1:14" ht="22.5" customHeight="1" x14ac:dyDescent="0.25">
      <c r="A11" s="23"/>
      <c r="B11" s="4"/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</row>
    <row r="12" spans="1:14" ht="22.5" customHeight="1" x14ac:dyDescent="0.25">
      <c r="A12" s="27" t="s">
        <v>18</v>
      </c>
      <c r="B12" s="28"/>
      <c r="C12" s="10">
        <f t="shared" ref="C12:N12" si="0">SUM(C5:C9,C11)</f>
        <v>17751191</v>
      </c>
      <c r="D12" s="10">
        <f t="shared" si="0"/>
        <v>17352833</v>
      </c>
      <c r="E12" s="10">
        <f t="shared" si="0"/>
        <v>19107771</v>
      </c>
      <c r="F12" s="10">
        <f t="shared" si="0"/>
        <v>17655893</v>
      </c>
      <c r="G12" s="10">
        <f t="shared" si="0"/>
        <v>19617306</v>
      </c>
      <c r="H12" s="10">
        <f t="shared" si="0"/>
        <v>18644127</v>
      </c>
      <c r="I12" s="10">
        <f t="shared" si="0"/>
        <v>16368789</v>
      </c>
      <c r="J12" s="10">
        <f t="shared" si="0"/>
        <v>16645356</v>
      </c>
      <c r="K12" s="10">
        <f t="shared" si="0"/>
        <v>14523453</v>
      </c>
      <c r="L12" s="10">
        <f t="shared" si="0"/>
        <v>15692239</v>
      </c>
      <c r="M12" s="10">
        <f t="shared" si="0"/>
        <v>17690996</v>
      </c>
      <c r="N12" s="10">
        <f t="shared" si="0"/>
        <v>17227944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6"/>
  <sheetViews>
    <sheetView zoomScale="75" zoomScaleNormal="75" workbookViewId="0">
      <selection activeCell="H21" sqref="H2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9.85546875" style="1" customWidth="1"/>
    <col min="15" max="15" width="9.140625" style="14"/>
    <col min="16" max="16" width="9.140625" style="1"/>
    <col min="17" max="17" width="11.5703125" style="14" bestFit="1" customWidth="1"/>
    <col min="18" max="16384" width="9.140625" style="1"/>
  </cols>
  <sheetData>
    <row r="2" spans="1:18" ht="42.75" customHeight="1" x14ac:dyDescent="0.25">
      <c r="A2" s="20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8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15"/>
      <c r="Q3" s="15"/>
      <c r="R3" s="12"/>
    </row>
    <row r="4" spans="1:18" ht="22.5" customHeight="1" x14ac:dyDescent="0.25">
      <c r="A4" s="21" t="s">
        <v>27</v>
      </c>
      <c r="B4" s="24" t="s">
        <v>19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R4" s="13"/>
    </row>
    <row r="5" spans="1:18" ht="22.5" customHeight="1" x14ac:dyDescent="0.25">
      <c r="A5" s="22"/>
      <c r="B5" s="5" t="s">
        <v>21</v>
      </c>
      <c r="C5" s="11"/>
      <c r="D5" s="11"/>
      <c r="E5" s="11"/>
      <c r="F5" s="11"/>
      <c r="G5" s="3"/>
      <c r="H5" s="3"/>
      <c r="I5" s="3"/>
      <c r="J5" s="3"/>
      <c r="K5" s="3"/>
      <c r="L5" s="3"/>
      <c r="M5" s="3"/>
      <c r="N5" s="3"/>
      <c r="R5" s="13"/>
    </row>
    <row r="6" spans="1:18" ht="22.5" customHeight="1" x14ac:dyDescent="0.25">
      <c r="A6" s="22"/>
      <c r="B6" s="5" t="s">
        <v>14</v>
      </c>
      <c r="C6" s="3">
        <f>14881518+526142+487128</f>
        <v>15894788</v>
      </c>
      <c r="D6" s="3">
        <f>13519611+741648+472480</f>
        <v>14733739</v>
      </c>
      <c r="E6" s="3">
        <f>17560364+688217+463786</f>
        <v>18712367</v>
      </c>
      <c r="F6" s="3">
        <f>15475812+628310+273243</f>
        <v>16377365</v>
      </c>
      <c r="G6" s="3">
        <f>14658032+448035+211057</f>
        <v>15317124</v>
      </c>
      <c r="H6" s="3">
        <f>13060014+546540+177232</f>
        <v>13783786</v>
      </c>
      <c r="I6" s="3">
        <f>13477830+617695+190816</f>
        <v>14286341</v>
      </c>
      <c r="J6" s="3">
        <f>14732111+166781+482238</f>
        <v>15381130</v>
      </c>
      <c r="K6" s="3">
        <f>12126709+578692+216213</f>
        <v>12921614</v>
      </c>
      <c r="L6" s="3">
        <f>14716366+712886+287177</f>
        <v>15716429</v>
      </c>
      <c r="M6" s="3">
        <f>14780027+668692+234637+117971+12554</f>
        <v>15813881</v>
      </c>
      <c r="N6" s="3">
        <f>13685296+715041+142053+363299+13763</f>
        <v>14919452</v>
      </c>
      <c r="O6" s="14">
        <f>N6/M6</f>
        <v>0.94344025985777935</v>
      </c>
      <c r="Q6" s="16">
        <f>AVERAGE(C6:N6)</f>
        <v>15321501.333333334</v>
      </c>
      <c r="R6" s="13"/>
    </row>
    <row r="7" spans="1:18" ht="22.5" customHeight="1" x14ac:dyDescent="0.25">
      <c r="A7" s="22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Q7" s="16"/>
      <c r="R7" s="13"/>
    </row>
    <row r="8" spans="1:18" ht="22.5" customHeight="1" x14ac:dyDescent="0.25">
      <c r="A8" s="22"/>
      <c r="B8" s="5" t="s">
        <v>16</v>
      </c>
      <c r="C8" s="3">
        <f>428592+915</f>
        <v>429507</v>
      </c>
      <c r="D8" s="3">
        <f>750+372052</f>
        <v>372802</v>
      </c>
      <c r="E8" s="3">
        <f>660+354582</f>
        <v>355242</v>
      </c>
      <c r="F8" s="3">
        <f>465+216889</f>
        <v>217354</v>
      </c>
      <c r="G8" s="3">
        <f>270+130397</f>
        <v>130667</v>
      </c>
      <c r="H8" s="3">
        <f>90+100253</f>
        <v>100343</v>
      </c>
      <c r="I8" s="3">
        <f>105+103188</f>
        <v>103293</v>
      </c>
      <c r="J8" s="3">
        <f>180+139760</f>
        <v>139940</v>
      </c>
      <c r="K8" s="3">
        <f>315+171769</f>
        <v>172084</v>
      </c>
      <c r="L8" s="3">
        <f>390+250384</f>
        <v>250774</v>
      </c>
      <c r="M8" s="3">
        <f>735+332908</f>
        <v>333643</v>
      </c>
      <c r="N8" s="3">
        <f>705+426761</f>
        <v>427466</v>
      </c>
      <c r="O8" s="14">
        <f t="shared" ref="O8:O9" si="0">N8/M8</f>
        <v>1.2812077579928247</v>
      </c>
      <c r="Q8" s="16">
        <f t="shared" ref="Q8:Q9" si="1">AVERAGE(C8:N8)</f>
        <v>252759.58333333334</v>
      </c>
      <c r="R8" s="13"/>
    </row>
    <row r="9" spans="1:18" ht="22.5" customHeight="1" x14ac:dyDescent="0.25">
      <c r="A9" s="22"/>
      <c r="B9" s="5" t="s">
        <v>17</v>
      </c>
      <c r="C9" s="3">
        <f>296</f>
        <v>296</v>
      </c>
      <c r="D9" s="3">
        <v>352</v>
      </c>
      <c r="E9" s="3">
        <v>1000</v>
      </c>
      <c r="F9" s="3">
        <v>192</v>
      </c>
      <c r="G9" s="3">
        <v>781</v>
      </c>
      <c r="H9" s="3">
        <v>704</v>
      </c>
      <c r="I9" s="3">
        <v>168</v>
      </c>
      <c r="J9" s="3">
        <v>200</v>
      </c>
      <c r="K9" s="3">
        <v>483</v>
      </c>
      <c r="L9" s="3">
        <v>3013</v>
      </c>
      <c r="M9" s="3">
        <v>769</v>
      </c>
      <c r="N9" s="3">
        <v>1816</v>
      </c>
      <c r="O9" s="14">
        <f t="shared" si="0"/>
        <v>2.3615084525357606</v>
      </c>
      <c r="Q9" s="16">
        <f t="shared" si="1"/>
        <v>814.5</v>
      </c>
      <c r="R9" s="13"/>
    </row>
    <row r="10" spans="1:18" ht="22.5" customHeight="1" x14ac:dyDescent="0.25">
      <c r="A10" s="22"/>
      <c r="B10" s="24" t="s">
        <v>20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R10" s="13"/>
    </row>
    <row r="11" spans="1:18" ht="22.5" customHeight="1" x14ac:dyDescent="0.25">
      <c r="A11" s="23"/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R11" s="13"/>
    </row>
    <row r="12" spans="1:18" ht="22.5" customHeight="1" x14ac:dyDescent="0.25">
      <c r="A12" s="27" t="s">
        <v>18</v>
      </c>
      <c r="B12" s="28"/>
      <c r="C12" s="10">
        <f t="shared" ref="C12:N12" si="2">SUM(C5:C9,C11)</f>
        <v>16324591</v>
      </c>
      <c r="D12" s="10">
        <f t="shared" si="2"/>
        <v>15106893</v>
      </c>
      <c r="E12" s="10">
        <f t="shared" si="2"/>
        <v>19068609</v>
      </c>
      <c r="F12" s="10">
        <f t="shared" si="2"/>
        <v>16594911</v>
      </c>
      <c r="G12" s="10">
        <f t="shared" si="2"/>
        <v>15448572</v>
      </c>
      <c r="H12" s="10">
        <f t="shared" si="2"/>
        <v>13884833</v>
      </c>
      <c r="I12" s="10">
        <f t="shared" si="2"/>
        <v>14389802</v>
      </c>
      <c r="J12" s="10">
        <f t="shared" si="2"/>
        <v>15521270</v>
      </c>
      <c r="K12" s="10">
        <f t="shared" si="2"/>
        <v>13094181</v>
      </c>
      <c r="L12" s="10">
        <f t="shared" si="2"/>
        <v>15970216</v>
      </c>
      <c r="M12" s="10">
        <f t="shared" si="2"/>
        <v>16148293</v>
      </c>
      <c r="N12" s="10">
        <f t="shared" si="2"/>
        <v>15348734</v>
      </c>
      <c r="R12" s="13"/>
    </row>
    <row r="13" spans="1:18" ht="22.5" customHeight="1" x14ac:dyDescent="0.25">
      <c r="R13" s="13"/>
    </row>
    <row r="14" spans="1:18" ht="22.5" customHeight="1" x14ac:dyDescent="0.25">
      <c r="R14" s="13"/>
    </row>
    <row r="15" spans="1:18" ht="22.5" customHeight="1" x14ac:dyDescent="0.25">
      <c r="R15" s="13"/>
    </row>
    <row r="16" spans="1:18" ht="22.5" customHeight="1" x14ac:dyDescent="0.25">
      <c r="R16" s="13"/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0"/>
  <sheetViews>
    <sheetView zoomScale="75" zoomScaleNormal="75" workbookViewId="0">
      <selection activeCell="W16" sqref="W1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6" width="19.85546875" style="1" customWidth="1"/>
    <col min="7" max="7" width="19.85546875" style="1" hidden="1" customWidth="1"/>
    <col min="8" max="8" width="19.85546875" style="1" customWidth="1"/>
    <col min="9" max="9" width="19.85546875" style="1" hidden="1" customWidth="1"/>
    <col min="10" max="10" width="19.85546875" style="1" customWidth="1"/>
    <col min="11" max="11" width="19.85546875" style="1" hidden="1" customWidth="1"/>
    <col min="12" max="12" width="19.85546875" style="1" customWidth="1"/>
    <col min="13" max="13" width="19.85546875" style="1" hidden="1" customWidth="1"/>
    <col min="14" max="14" width="19.85546875" style="1" customWidth="1"/>
    <col min="15" max="15" width="19.85546875" style="1" hidden="1" customWidth="1"/>
    <col min="16" max="16" width="19.85546875" style="1" customWidth="1"/>
    <col min="17" max="17" width="19.85546875" style="1" hidden="1" customWidth="1"/>
    <col min="18" max="18" width="19.85546875" style="1" customWidth="1"/>
    <col min="19" max="19" width="19.85546875" style="1" hidden="1" customWidth="1"/>
    <col min="20" max="20" width="19.85546875" style="1" customWidth="1"/>
    <col min="21" max="21" width="19.85546875" style="1" hidden="1" customWidth="1"/>
    <col min="22" max="22" width="19.85546875" style="1" customWidth="1"/>
    <col min="23" max="23" width="12.7109375" style="14" bestFit="1" customWidth="1"/>
    <col min="24" max="16384" width="9.140625" style="1"/>
  </cols>
  <sheetData>
    <row r="2" spans="1:23" ht="42.7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3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/>
      <c r="H3" s="9" t="s">
        <v>6</v>
      </c>
      <c r="I3" s="9"/>
      <c r="J3" s="9" t="s">
        <v>7</v>
      </c>
      <c r="K3" s="9"/>
      <c r="L3" s="9" t="s">
        <v>8</v>
      </c>
      <c r="M3" s="9"/>
      <c r="N3" s="9" t="s">
        <v>9</v>
      </c>
      <c r="O3" s="9"/>
      <c r="P3" s="9" t="s">
        <v>10</v>
      </c>
      <c r="Q3" s="9"/>
      <c r="R3" s="9" t="s">
        <v>11</v>
      </c>
      <c r="S3" s="9"/>
      <c r="T3" s="9" t="s">
        <v>12</v>
      </c>
      <c r="U3" s="9"/>
      <c r="V3" s="9" t="s">
        <v>13</v>
      </c>
      <c r="W3" s="15"/>
    </row>
    <row r="4" spans="1:23" ht="22.5" customHeight="1" x14ac:dyDescent="0.25">
      <c r="A4" s="21" t="s">
        <v>33</v>
      </c>
      <c r="B4" s="24" t="s">
        <v>19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6"/>
    </row>
    <row r="5" spans="1:23" ht="22.5" customHeight="1" x14ac:dyDescent="0.25">
      <c r="A5" s="22"/>
      <c r="B5" s="5" t="s">
        <v>21</v>
      </c>
      <c r="C5" s="11"/>
      <c r="D5" s="11"/>
      <c r="E5" s="11"/>
      <c r="F5" s="11"/>
      <c r="G5" s="1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3" ht="22.5" customHeight="1" x14ac:dyDescent="0.25">
      <c r="A6" s="22"/>
      <c r="B6" s="5" t="s">
        <v>14</v>
      </c>
      <c r="C6" s="3">
        <f>10602325+389835+362207+95971+12947</f>
        <v>11463285</v>
      </c>
      <c r="D6" s="3">
        <f>10557615+321037+128581+12867+664589</f>
        <v>11684689</v>
      </c>
      <c r="E6" s="3">
        <f>12700220+642527+98416+292960+11477</f>
        <v>13745600</v>
      </c>
      <c r="F6" s="3">
        <f>11920936+424436+182522+113801+8914</f>
        <v>12650609</v>
      </c>
      <c r="G6" s="3">
        <v>0.9352618079892584</v>
      </c>
      <c r="H6" s="3">
        <f>8805539+368314+137232+84987+4267</f>
        <v>9400339</v>
      </c>
      <c r="I6" s="3">
        <v>0.8998938704158822</v>
      </c>
      <c r="J6" s="3">
        <f>8571830+342156+118600+72452+2874</f>
        <v>9107912</v>
      </c>
      <c r="K6" s="3">
        <v>1.036459866686845</v>
      </c>
      <c r="L6" s="3">
        <f>9718582+124077+71587+4068</f>
        <v>9918314</v>
      </c>
      <c r="M6" s="3">
        <v>1.0766318681599438</v>
      </c>
      <c r="N6" s="3">
        <f>13486890+120613+71897+4322</f>
        <v>13683722</v>
      </c>
      <c r="O6" s="3">
        <v>0.84009523357516647</v>
      </c>
      <c r="P6" s="3">
        <f>13256861+129164+83871+5832</f>
        <v>13475728</v>
      </c>
      <c r="Q6" s="3">
        <v>1.2162899309637325</v>
      </c>
      <c r="R6" s="3">
        <f>12406858+652848+207077+100363+10217</f>
        <v>13377363</v>
      </c>
      <c r="S6" s="3">
        <v>1.0062006451974554</v>
      </c>
      <c r="T6" s="3">
        <f>13212423+295449+137085+14048</f>
        <v>13659005</v>
      </c>
      <c r="U6" s="3">
        <v>0.94344025985777935</v>
      </c>
      <c r="V6" s="3">
        <f>15119396+353210+161989+16660</f>
        <v>15651255</v>
      </c>
      <c r="W6" s="14">
        <f>'2021'!C6/'2020'!V6</f>
        <v>0.84620594322947262</v>
      </c>
    </row>
    <row r="7" spans="1:23" ht="22.5" customHeight="1" x14ac:dyDescent="0.25">
      <c r="A7" s="22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3" ht="22.5" customHeight="1" x14ac:dyDescent="0.25">
      <c r="A8" s="22"/>
      <c r="B8" s="5" t="s">
        <v>16</v>
      </c>
      <c r="C8" s="3">
        <v>425976</v>
      </c>
      <c r="D8" s="3">
        <v>376368</v>
      </c>
      <c r="E8" s="3">
        <v>330222</v>
      </c>
      <c r="F8" s="3">
        <v>286150</v>
      </c>
      <c r="G8" s="3">
        <v>0.60117136100554858</v>
      </c>
      <c r="H8" s="3">
        <v>184236</v>
      </c>
      <c r="I8" s="3">
        <v>0.76792916344601159</v>
      </c>
      <c r="J8" s="3">
        <v>104808</v>
      </c>
      <c r="K8" s="3">
        <v>1.0293991608781878</v>
      </c>
      <c r="L8" s="3">
        <v>103798</v>
      </c>
      <c r="M8" s="3">
        <v>1.3547868684228359</v>
      </c>
      <c r="N8" s="3">
        <v>95869</v>
      </c>
      <c r="O8" s="3">
        <v>1.2296984421895099</v>
      </c>
      <c r="P8" s="3">
        <v>114742</v>
      </c>
      <c r="Q8" s="3">
        <v>1.4572766788312685</v>
      </c>
      <c r="R8" s="3">
        <v>295396</v>
      </c>
      <c r="S8" s="3">
        <v>1.3304529177665947</v>
      </c>
      <c r="T8" s="3">
        <v>323837</v>
      </c>
      <c r="U8" s="3">
        <v>1.2812077579928247</v>
      </c>
      <c r="V8" s="3">
        <v>450233</v>
      </c>
      <c r="W8" s="14">
        <f>'2021'!C8/'2020'!V8</f>
        <v>1.0759162478094675</v>
      </c>
    </row>
    <row r="9" spans="1:23" ht="22.5" customHeight="1" x14ac:dyDescent="0.25">
      <c r="A9" s="22"/>
      <c r="B9" s="5" t="s">
        <v>17</v>
      </c>
      <c r="C9" s="3">
        <v>1276</v>
      </c>
      <c r="D9" s="3">
        <v>1528</v>
      </c>
      <c r="E9" s="3">
        <v>1360</v>
      </c>
      <c r="F9" s="3">
        <v>192</v>
      </c>
      <c r="G9" s="3">
        <v>4.067708333333333</v>
      </c>
      <c r="H9" s="3">
        <v>572</v>
      </c>
      <c r="I9" s="3">
        <v>0.90140845070422537</v>
      </c>
      <c r="J9" s="3">
        <v>593</v>
      </c>
      <c r="K9" s="3">
        <v>0.23863636363636365</v>
      </c>
      <c r="L9" s="3">
        <v>944</v>
      </c>
      <c r="M9" s="3">
        <v>1.1904761904761905</v>
      </c>
      <c r="N9" s="3">
        <v>522</v>
      </c>
      <c r="O9" s="3">
        <v>2.415</v>
      </c>
      <c r="P9" s="3">
        <v>1066</v>
      </c>
      <c r="Q9" s="3">
        <v>6.2380952380952381</v>
      </c>
      <c r="R9" s="3">
        <v>1308</v>
      </c>
      <c r="S9" s="3">
        <v>0.25522734815798209</v>
      </c>
      <c r="T9" s="3">
        <v>677</v>
      </c>
      <c r="U9" s="3">
        <v>2.3615084525357606</v>
      </c>
      <c r="V9" s="3">
        <v>1011</v>
      </c>
      <c r="W9" s="14">
        <f>'2021'!C9/'2020'!V9</f>
        <v>5.9366963402571713</v>
      </c>
    </row>
    <row r="10" spans="1:23" ht="22.5" customHeight="1" x14ac:dyDescent="0.25">
      <c r="A10" s="22"/>
      <c r="B10" s="24" t="s">
        <v>20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6"/>
    </row>
    <row r="11" spans="1:23" ht="22.5" customHeight="1" x14ac:dyDescent="0.25">
      <c r="A11" s="23"/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3" ht="22.5" customHeight="1" x14ac:dyDescent="0.25">
      <c r="A12" s="21" t="s">
        <v>32</v>
      </c>
      <c r="B12" s="24" t="s">
        <v>19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6"/>
    </row>
    <row r="13" spans="1:23" ht="22.5" customHeight="1" x14ac:dyDescent="0.25">
      <c r="A13" s="22"/>
      <c r="B13" s="5" t="s">
        <v>21</v>
      </c>
      <c r="C13" s="11"/>
      <c r="D13" s="11"/>
      <c r="E13" s="11"/>
      <c r="F13" s="11"/>
      <c r="G13" s="11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3" ht="22.5" customHeight="1" x14ac:dyDescent="0.25">
      <c r="A14" s="22"/>
      <c r="B14" s="5" t="s">
        <v>14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3" ht="22.5" customHeight="1" x14ac:dyDescent="0.25">
      <c r="A15" s="22"/>
      <c r="B15" s="5" t="s">
        <v>15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3" ht="22.5" customHeight="1" x14ac:dyDescent="0.25">
      <c r="A16" s="22"/>
      <c r="B16" s="5" t="s">
        <v>16</v>
      </c>
      <c r="C16" s="3">
        <v>990</v>
      </c>
      <c r="D16" s="3">
        <v>795</v>
      </c>
      <c r="E16" s="3">
        <v>555</v>
      </c>
      <c r="F16" s="3">
        <v>540</v>
      </c>
      <c r="G16" s="3"/>
      <c r="H16" s="3">
        <v>240</v>
      </c>
      <c r="I16" s="3">
        <f>H16/F16</f>
        <v>0.44444444444444442</v>
      </c>
      <c r="J16" s="3">
        <v>105</v>
      </c>
      <c r="K16" s="3">
        <f>J16/H16</f>
        <v>0.4375</v>
      </c>
      <c r="L16" s="3">
        <v>75</v>
      </c>
      <c r="M16" s="3">
        <f>L16/J16</f>
        <v>0.7142857142857143</v>
      </c>
      <c r="N16" s="3">
        <v>150</v>
      </c>
      <c r="O16" s="3">
        <f>N16/L16</f>
        <v>2</v>
      </c>
      <c r="P16" s="3">
        <v>210</v>
      </c>
      <c r="Q16" s="3">
        <f>P16/N16</f>
        <v>1.4</v>
      </c>
      <c r="R16" s="3">
        <v>330</v>
      </c>
      <c r="S16" s="3">
        <f>R16/P16</f>
        <v>1.5714285714285714</v>
      </c>
      <c r="T16" s="3">
        <v>675</v>
      </c>
      <c r="U16" s="3">
        <f>T16/R16</f>
        <v>2.0454545454545454</v>
      </c>
      <c r="V16" s="3">
        <v>810</v>
      </c>
      <c r="W16" s="14">
        <f>'2021'!C16/'2020'!V16</f>
        <v>0.53703703703703709</v>
      </c>
    </row>
    <row r="17" spans="1:22" ht="22.5" customHeight="1" x14ac:dyDescent="0.25">
      <c r="A17" s="22"/>
      <c r="B17" s="5" t="s">
        <v>17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2.5" customHeight="1" x14ac:dyDescent="0.25">
      <c r="A18" s="22"/>
      <c r="B18" s="24" t="s">
        <v>20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6"/>
    </row>
    <row r="19" spans="1:22" ht="22.5" customHeight="1" x14ac:dyDescent="0.25">
      <c r="A19" s="23"/>
      <c r="B19" s="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ht="22.5" customHeight="1" x14ac:dyDescent="0.25">
      <c r="A20" s="27" t="s">
        <v>18</v>
      </c>
      <c r="B20" s="28"/>
      <c r="C20" s="10">
        <f>SUM(C5:C9,C11,C13:C17)</f>
        <v>11891527</v>
      </c>
      <c r="D20" s="10">
        <f t="shared" ref="D20:V20" si="0">SUM(D5:D9,D11,D13:D17)</f>
        <v>12063380</v>
      </c>
      <c r="E20" s="10">
        <f t="shared" si="0"/>
        <v>14077737</v>
      </c>
      <c r="F20" s="10">
        <f t="shared" si="0"/>
        <v>12937491</v>
      </c>
      <c r="G20" s="10">
        <f t="shared" si="0"/>
        <v>5.6041415023281402</v>
      </c>
      <c r="H20" s="10">
        <f t="shared" si="0"/>
        <v>9585387</v>
      </c>
      <c r="I20" s="10">
        <f t="shared" si="0"/>
        <v>3.0136759290105637</v>
      </c>
      <c r="J20" s="10">
        <f t="shared" si="0"/>
        <v>9213418</v>
      </c>
      <c r="K20" s="10">
        <f t="shared" si="0"/>
        <v>2.7419953912013963</v>
      </c>
      <c r="L20" s="10">
        <f t="shared" si="0"/>
        <v>10023131</v>
      </c>
      <c r="M20" s="10"/>
      <c r="N20" s="10">
        <f t="shared" si="0"/>
        <v>13780263</v>
      </c>
      <c r="O20" s="10"/>
      <c r="P20" s="10">
        <f t="shared" si="0"/>
        <v>13591746</v>
      </c>
      <c r="Q20" s="10"/>
      <c r="R20" s="10">
        <f t="shared" si="0"/>
        <v>13674397</v>
      </c>
      <c r="S20" s="10"/>
      <c r="T20" s="10">
        <f t="shared" si="0"/>
        <v>13984194</v>
      </c>
      <c r="U20" s="10"/>
      <c r="V20" s="10">
        <f t="shared" si="0"/>
        <v>16103309</v>
      </c>
    </row>
  </sheetData>
  <mergeCells count="8">
    <mergeCell ref="A2:V2"/>
    <mergeCell ref="A4:A11"/>
    <mergeCell ref="B4:V4"/>
    <mergeCell ref="B10:V10"/>
    <mergeCell ref="A20:B20"/>
    <mergeCell ref="A12:A19"/>
    <mergeCell ref="B12:V12"/>
    <mergeCell ref="B18:V1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20"/>
  <sheetViews>
    <sheetView zoomScale="70" zoomScaleNormal="70" workbookViewId="0">
      <selection activeCell="AH16" sqref="AH1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9.85546875" style="1" customWidth="1"/>
    <col min="4" max="4" width="19.85546875" style="1" hidden="1" customWidth="1"/>
    <col min="5" max="5" width="19.85546875" style="1" customWidth="1"/>
    <col min="6" max="6" width="19.85546875" style="1" hidden="1" customWidth="1"/>
    <col min="7" max="7" width="19.85546875" style="1" customWidth="1"/>
    <col min="8" max="8" width="19.85546875" style="1" hidden="1" customWidth="1"/>
    <col min="9" max="9" width="19.85546875" style="1" customWidth="1"/>
    <col min="10" max="11" width="19.85546875" style="1" hidden="1" customWidth="1"/>
    <col min="12" max="12" width="19.85546875" style="1" customWidth="1"/>
    <col min="13" max="14" width="19.85546875" style="1" hidden="1" customWidth="1"/>
    <col min="15" max="15" width="19.85546875" style="1" customWidth="1"/>
    <col min="16" max="17" width="19.85546875" style="1" hidden="1" customWidth="1"/>
    <col min="18" max="18" width="19.85546875" style="1" customWidth="1"/>
    <col min="19" max="20" width="19.85546875" style="1" hidden="1" customWidth="1"/>
    <col min="21" max="21" width="19.85546875" style="1" customWidth="1"/>
    <col min="22" max="23" width="19.85546875" style="1" hidden="1" customWidth="1"/>
    <col min="24" max="24" width="19.85546875" style="1" customWidth="1"/>
    <col min="25" max="26" width="19.85546875" style="1" hidden="1" customWidth="1"/>
    <col min="27" max="27" width="19.85546875" style="1" customWidth="1"/>
    <col min="28" max="29" width="19.85546875" style="1" hidden="1" customWidth="1"/>
    <col min="30" max="30" width="19.85546875" style="1" customWidth="1"/>
    <col min="31" max="32" width="19.85546875" style="1" hidden="1" customWidth="1"/>
    <col min="33" max="33" width="19.85546875" style="1" customWidth="1"/>
    <col min="34" max="34" width="9.140625" style="14"/>
    <col min="35" max="16384" width="9.140625" style="1"/>
  </cols>
  <sheetData>
    <row r="2" spans="1:34" ht="42.75" customHeight="1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1:34" s="2" customFormat="1" ht="33" customHeight="1" x14ac:dyDescent="0.25">
      <c r="A3" s="7" t="s">
        <v>0</v>
      </c>
      <c r="B3" s="8" t="s">
        <v>1</v>
      </c>
      <c r="C3" s="9" t="s">
        <v>2</v>
      </c>
      <c r="D3" s="9"/>
      <c r="E3" s="9" t="s">
        <v>3</v>
      </c>
      <c r="F3" s="9"/>
      <c r="G3" s="9" t="s">
        <v>4</v>
      </c>
      <c r="H3" s="9"/>
      <c r="I3" s="9" t="s">
        <v>5</v>
      </c>
      <c r="J3" s="9"/>
      <c r="K3" s="9"/>
      <c r="L3" s="9" t="s">
        <v>6</v>
      </c>
      <c r="M3" s="9"/>
      <c r="N3" s="9"/>
      <c r="O3" s="9" t="s">
        <v>7</v>
      </c>
      <c r="P3" s="9"/>
      <c r="Q3" s="9"/>
      <c r="R3" s="9" t="s">
        <v>8</v>
      </c>
      <c r="S3" s="9"/>
      <c r="T3" s="9"/>
      <c r="U3" s="9" t="s">
        <v>9</v>
      </c>
      <c r="V3" s="9"/>
      <c r="W3" s="9"/>
      <c r="X3" s="9" t="s">
        <v>10</v>
      </c>
      <c r="Y3" s="9"/>
      <c r="Z3" s="9"/>
      <c r="AA3" s="9" t="s">
        <v>11</v>
      </c>
      <c r="AB3" s="9"/>
      <c r="AC3" s="9"/>
      <c r="AD3" s="9" t="s">
        <v>12</v>
      </c>
      <c r="AE3" s="9"/>
      <c r="AF3" s="9"/>
      <c r="AG3" s="9" t="s">
        <v>13</v>
      </c>
      <c r="AH3" s="15"/>
    </row>
    <row r="4" spans="1:34" ht="22.5" customHeight="1" x14ac:dyDescent="0.25">
      <c r="A4" s="21" t="s">
        <v>33</v>
      </c>
      <c r="B4" s="24" t="s">
        <v>19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6"/>
    </row>
    <row r="5" spans="1:34" ht="22.5" customHeight="1" x14ac:dyDescent="0.25">
      <c r="A5" s="22"/>
      <c r="B5" s="5" t="s">
        <v>21</v>
      </c>
      <c r="C5" s="11"/>
      <c r="D5" s="11"/>
      <c r="E5" s="11"/>
      <c r="F5" s="11"/>
      <c r="G5" s="11"/>
      <c r="H5" s="11"/>
      <c r="I5" s="11"/>
      <c r="J5" s="11"/>
      <c r="K5" s="11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4" ht="22.5" customHeight="1" x14ac:dyDescent="0.25">
      <c r="A6" s="22"/>
      <c r="B6" s="5" t="s">
        <v>14</v>
      </c>
      <c r="C6" s="3">
        <f>12222450+438317+189533+378318+15567</f>
        <v>13244185</v>
      </c>
      <c r="D6" s="3">
        <v>1.0193141843721063</v>
      </c>
      <c r="E6" s="3">
        <f>11417800+690848+298361+172452+15412</f>
        <v>12594873</v>
      </c>
      <c r="F6" s="3">
        <v>1.1763770520550441</v>
      </c>
      <c r="G6" s="3">
        <f>15430332+310318+148711+15165</f>
        <v>15904526</v>
      </c>
      <c r="H6" s="3">
        <v>0.92033879932487483</v>
      </c>
      <c r="I6" s="3">
        <f>13371027+174128+117081+8216</f>
        <v>13670452</v>
      </c>
      <c r="J6" s="3"/>
      <c r="K6" s="3">
        <v>0.74307402908429154</v>
      </c>
      <c r="L6" s="18">
        <v>14681878</v>
      </c>
      <c r="M6" s="3"/>
      <c r="N6" s="3">
        <v>0.9688918665592805</v>
      </c>
      <c r="O6" s="3">
        <f>11913793+567707+141057</f>
        <v>12622557</v>
      </c>
      <c r="P6" s="3"/>
      <c r="Q6" s="3">
        <v>1.0889778030354267</v>
      </c>
      <c r="R6" s="3">
        <f>12250783+489748+172492</f>
        <v>12913023</v>
      </c>
      <c r="S6" s="3"/>
      <c r="T6" s="3">
        <v>1.3796419431770359</v>
      </c>
      <c r="U6" s="3">
        <f>13187880+416775+152373</f>
        <v>13757028</v>
      </c>
      <c r="V6" s="3"/>
      <c r="W6" s="3">
        <v>0.98479989581781913</v>
      </c>
      <c r="X6" s="3">
        <f>13503403+589692+201891</f>
        <v>14294986</v>
      </c>
      <c r="Y6" s="3"/>
      <c r="Z6" s="3">
        <v>0.99270057988703841</v>
      </c>
      <c r="AA6" s="18">
        <f>15436744+626252+318313</f>
        <v>16381309</v>
      </c>
      <c r="AB6" s="3"/>
      <c r="AC6" s="3">
        <v>1.0210536261892571</v>
      </c>
      <c r="AD6" s="3">
        <f>16684626+682905+431976</f>
        <v>17799507</v>
      </c>
      <c r="AE6" s="3"/>
      <c r="AF6" s="3">
        <v>1.1458561586294169</v>
      </c>
      <c r="AG6" s="18">
        <f>14916200+797296+485995+555872</f>
        <v>16755363</v>
      </c>
      <c r="AH6" s="14">
        <f>'2022'!D6/'2021'!AG6</f>
        <v>0.90988718060002638</v>
      </c>
    </row>
    <row r="7" spans="1:34" ht="22.5" customHeight="1" x14ac:dyDescent="0.25">
      <c r="A7" s="22"/>
      <c r="B7" s="5" t="s">
        <v>15</v>
      </c>
      <c r="C7" s="3"/>
      <c r="D7" s="3"/>
      <c r="E7" s="3"/>
      <c r="F7" s="3"/>
      <c r="G7" s="3"/>
      <c r="H7" s="3"/>
      <c r="I7" s="3"/>
      <c r="J7" s="3"/>
      <c r="K7" s="3"/>
      <c r="L7" s="17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17"/>
      <c r="AB7" s="3"/>
      <c r="AC7" s="3"/>
      <c r="AD7" s="3"/>
      <c r="AE7" s="3"/>
      <c r="AF7" s="3"/>
      <c r="AG7" s="18"/>
    </row>
    <row r="8" spans="1:34" ht="22.5" customHeight="1" x14ac:dyDescent="0.25">
      <c r="A8" s="22"/>
      <c r="B8" s="5" t="s">
        <v>16</v>
      </c>
      <c r="C8" s="3">
        <f>484413</f>
        <v>484413</v>
      </c>
      <c r="D8" s="3">
        <v>0.88354273480196066</v>
      </c>
      <c r="E8" s="3">
        <v>507478</v>
      </c>
      <c r="F8" s="3">
        <v>0.87739127662287975</v>
      </c>
      <c r="G8" s="3">
        <v>382930</v>
      </c>
      <c r="H8" s="3">
        <v>0.8665382681953353</v>
      </c>
      <c r="I8" s="3">
        <v>254841</v>
      </c>
      <c r="J8" s="3"/>
      <c r="K8" s="3">
        <v>0.64384413769002269</v>
      </c>
      <c r="L8" s="18">
        <v>139973</v>
      </c>
      <c r="M8" s="3"/>
      <c r="N8" s="3">
        <v>0.56887904644043508</v>
      </c>
      <c r="O8" s="3">
        <v>93120</v>
      </c>
      <c r="P8" s="3"/>
      <c r="Q8" s="3">
        <v>0.99036333104343177</v>
      </c>
      <c r="R8" s="3">
        <v>91406</v>
      </c>
      <c r="S8" s="3"/>
      <c r="T8" s="3">
        <v>0.92361124491801383</v>
      </c>
      <c r="U8" s="3">
        <v>75486</v>
      </c>
      <c r="V8" s="3"/>
      <c r="W8" s="3">
        <v>1.1968623851297082</v>
      </c>
      <c r="X8" s="3">
        <v>185323</v>
      </c>
      <c r="Y8" s="3"/>
      <c r="Z8" s="3">
        <v>2.5744365620261109</v>
      </c>
      <c r="AA8" s="18">
        <v>238890</v>
      </c>
      <c r="AB8" s="3"/>
      <c r="AC8" s="3">
        <v>1.0962809245893648</v>
      </c>
      <c r="AD8" s="3">
        <v>283309</v>
      </c>
      <c r="AE8" s="3"/>
      <c r="AF8" s="3">
        <v>1.390307469498544</v>
      </c>
      <c r="AG8" s="18">
        <v>324411</v>
      </c>
      <c r="AH8" s="14">
        <f>'2022'!D8/'2021'!AG8</f>
        <v>1.2233401456794004</v>
      </c>
    </row>
    <row r="9" spans="1:34" ht="22.5" customHeight="1" x14ac:dyDescent="0.25">
      <c r="A9" s="22"/>
      <c r="B9" s="5" t="s">
        <v>17</v>
      </c>
      <c r="C9" s="3">
        <v>6002</v>
      </c>
      <c r="D9" s="3">
        <v>1.1974921630094044</v>
      </c>
      <c r="E9" s="3">
        <v>818</v>
      </c>
      <c r="F9" s="3">
        <v>0.89005235602094246</v>
      </c>
      <c r="G9" s="3">
        <v>652</v>
      </c>
      <c r="H9" s="3">
        <v>0.14117647058823529</v>
      </c>
      <c r="I9" s="3">
        <v>1373</v>
      </c>
      <c r="J9" s="3"/>
      <c r="K9" s="3">
        <v>2.9791666666666665</v>
      </c>
      <c r="L9" s="18">
        <v>946</v>
      </c>
      <c r="M9" s="3"/>
      <c r="N9" s="3">
        <v>1.0367132867132867</v>
      </c>
      <c r="O9" s="3">
        <v>703</v>
      </c>
      <c r="P9" s="3"/>
      <c r="Q9" s="3">
        <v>1.5919055649241147</v>
      </c>
      <c r="R9" s="3">
        <v>343</v>
      </c>
      <c r="S9" s="3"/>
      <c r="T9" s="3">
        <v>0.55296610169491522</v>
      </c>
      <c r="U9" s="3">
        <v>516</v>
      </c>
      <c r="V9" s="3"/>
      <c r="W9" s="3">
        <v>2.0421455938697317</v>
      </c>
      <c r="X9" s="3">
        <v>1049</v>
      </c>
      <c r="Y9" s="3"/>
      <c r="Z9" s="3">
        <v>1.2270168855534709</v>
      </c>
      <c r="AA9" s="18">
        <v>1026</v>
      </c>
      <c r="AB9" s="3"/>
      <c r="AC9" s="3">
        <v>0.51758409785932724</v>
      </c>
      <c r="AD9" s="3">
        <v>819</v>
      </c>
      <c r="AE9" s="3"/>
      <c r="AF9" s="3">
        <v>1.4933530280649927</v>
      </c>
      <c r="AG9" s="18">
        <v>725</v>
      </c>
      <c r="AH9" s="14">
        <f>'2022'!D9/'2021'!AG9</f>
        <v>1.6924137931034482</v>
      </c>
    </row>
    <row r="10" spans="1:34" ht="22.5" customHeight="1" x14ac:dyDescent="0.25">
      <c r="A10" s="22"/>
      <c r="B10" s="24" t="s">
        <v>20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6"/>
    </row>
    <row r="11" spans="1:34" ht="22.5" customHeight="1" x14ac:dyDescent="0.25">
      <c r="A11" s="23"/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4" ht="22.5" customHeight="1" x14ac:dyDescent="0.25">
      <c r="A12" s="21" t="s">
        <v>32</v>
      </c>
      <c r="B12" s="24" t="s">
        <v>19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</row>
    <row r="13" spans="1:34" ht="22.5" customHeight="1" x14ac:dyDescent="0.25">
      <c r="A13" s="22"/>
      <c r="B13" s="5" t="s">
        <v>21</v>
      </c>
      <c r="C13" s="11"/>
      <c r="D13" s="11"/>
      <c r="E13" s="11"/>
      <c r="F13" s="11"/>
      <c r="G13" s="11"/>
      <c r="H13" s="11"/>
      <c r="I13" s="11"/>
      <c r="J13" s="11"/>
      <c r="K13" s="1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4" ht="22.5" customHeight="1" x14ac:dyDescent="0.25">
      <c r="A14" s="22"/>
      <c r="B14" s="5" t="s">
        <v>14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4" ht="22.5" customHeight="1" x14ac:dyDescent="0.25">
      <c r="A15" s="22"/>
      <c r="B15" s="5" t="s">
        <v>15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4" ht="22.5" customHeight="1" x14ac:dyDescent="0.25">
      <c r="A16" s="22"/>
      <c r="B16" s="5" t="s">
        <v>16</v>
      </c>
      <c r="C16" s="3">
        <v>435</v>
      </c>
      <c r="D16" s="3">
        <v>0.80303030303030298</v>
      </c>
      <c r="E16" s="3">
        <v>585</v>
      </c>
      <c r="F16" s="3">
        <v>0.69811320754716977</v>
      </c>
      <c r="G16" s="3">
        <v>435</v>
      </c>
      <c r="H16" s="3">
        <v>0.97297297297297303</v>
      </c>
      <c r="I16" s="3">
        <v>270</v>
      </c>
      <c r="J16" s="3"/>
      <c r="K16" s="3">
        <v>0.44444444444444442</v>
      </c>
      <c r="L16" s="3">
        <v>120</v>
      </c>
      <c r="M16" s="3"/>
      <c r="N16" s="3">
        <v>0.4375</v>
      </c>
      <c r="O16" s="3">
        <v>45</v>
      </c>
      <c r="P16" s="3"/>
      <c r="Q16" s="3">
        <v>0.7142857142857143</v>
      </c>
      <c r="R16" s="3">
        <v>45</v>
      </c>
      <c r="S16" s="3"/>
      <c r="T16" s="3">
        <v>2</v>
      </c>
      <c r="U16" s="3">
        <v>75</v>
      </c>
      <c r="V16" s="3"/>
      <c r="W16" s="3">
        <v>1.4</v>
      </c>
      <c r="X16" s="3">
        <v>240</v>
      </c>
      <c r="Y16" s="3"/>
      <c r="Z16" s="3">
        <v>1.5714285714285714</v>
      </c>
      <c r="AA16" s="3">
        <v>315</v>
      </c>
      <c r="AB16" s="3"/>
      <c r="AC16" s="3">
        <v>2.0454545454545454</v>
      </c>
      <c r="AD16" s="3">
        <v>480</v>
      </c>
      <c r="AE16" s="3"/>
      <c r="AF16" s="3">
        <v>1.2</v>
      </c>
      <c r="AG16" s="3">
        <v>555</v>
      </c>
      <c r="AH16" s="14">
        <f>'2022'!D16/'2021'!AG16</f>
        <v>1.3243243243243243</v>
      </c>
    </row>
    <row r="17" spans="1:33" ht="22.5" customHeight="1" x14ac:dyDescent="0.25">
      <c r="A17" s="22"/>
      <c r="B17" s="5" t="s">
        <v>17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ht="22.5" customHeight="1" x14ac:dyDescent="0.25">
      <c r="A18" s="22"/>
      <c r="B18" s="24" t="s">
        <v>20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6"/>
    </row>
    <row r="19" spans="1:33" ht="22.5" customHeight="1" x14ac:dyDescent="0.25">
      <c r="A19" s="23"/>
      <c r="B19" s="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ht="22.5" customHeight="1" x14ac:dyDescent="0.25">
      <c r="A20" s="27" t="s">
        <v>18</v>
      </c>
      <c r="B20" s="28"/>
      <c r="C20" s="10">
        <f>SUM(C5:C9,C11,C13:C17)</f>
        <v>13735035</v>
      </c>
      <c r="D20" s="10"/>
      <c r="E20" s="10">
        <f t="shared" ref="E20:AG20" si="0">SUM(E5:E9,E11,E13:E17)</f>
        <v>13103754</v>
      </c>
      <c r="F20" s="10"/>
      <c r="G20" s="10">
        <f t="shared" si="0"/>
        <v>16288543</v>
      </c>
      <c r="H20" s="10"/>
      <c r="I20" s="10">
        <f t="shared" si="0"/>
        <v>13926936</v>
      </c>
      <c r="J20" s="10">
        <f t="shared" si="0"/>
        <v>0</v>
      </c>
      <c r="K20" s="10"/>
      <c r="L20" s="10">
        <f t="shared" si="0"/>
        <v>14822917</v>
      </c>
      <c r="M20" s="10">
        <f t="shared" si="0"/>
        <v>0</v>
      </c>
      <c r="N20" s="10"/>
      <c r="O20" s="10">
        <f t="shared" si="0"/>
        <v>12716425</v>
      </c>
      <c r="P20" s="10">
        <f t="shared" si="0"/>
        <v>0</v>
      </c>
      <c r="Q20" s="10"/>
      <c r="R20" s="10">
        <f t="shared" si="0"/>
        <v>13004817</v>
      </c>
      <c r="S20" s="10"/>
      <c r="T20" s="10"/>
      <c r="U20" s="10">
        <f t="shared" si="0"/>
        <v>13833105</v>
      </c>
      <c r="V20" s="10"/>
      <c r="W20" s="10"/>
      <c r="X20" s="10">
        <f t="shared" si="0"/>
        <v>14481598</v>
      </c>
      <c r="Y20" s="10"/>
      <c r="Z20" s="10"/>
      <c r="AA20" s="10">
        <f t="shared" si="0"/>
        <v>16621540</v>
      </c>
      <c r="AB20" s="10"/>
      <c r="AC20" s="10"/>
      <c r="AD20" s="10">
        <f t="shared" si="0"/>
        <v>18084115</v>
      </c>
      <c r="AE20" s="10"/>
      <c r="AF20" s="10"/>
      <c r="AG20" s="10">
        <f t="shared" si="0"/>
        <v>17081054</v>
      </c>
    </row>
  </sheetData>
  <mergeCells count="8">
    <mergeCell ref="A20:B20"/>
    <mergeCell ref="A2:AG2"/>
    <mergeCell ref="A4:A11"/>
    <mergeCell ref="B4:AG4"/>
    <mergeCell ref="B10:AG10"/>
    <mergeCell ref="A12:A19"/>
    <mergeCell ref="B12:AG12"/>
    <mergeCell ref="B18:A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 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Пагуба Светлана Витальевна</cp:lastModifiedBy>
  <dcterms:created xsi:type="dcterms:W3CDTF">2013-11-13T16:10:49Z</dcterms:created>
  <dcterms:modified xsi:type="dcterms:W3CDTF">2025-01-22T12:21:42Z</dcterms:modified>
</cp:coreProperties>
</file>